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20\"/>
    </mc:Choice>
  </mc:AlternateContent>
  <bookViews>
    <workbookView xWindow="0" yWindow="0" windowWidth="28800" windowHeight="12435" firstSheet="4" activeTab="4"/>
  </bookViews>
  <sheets>
    <sheet name="Rashodi - Investicije" sheetId="1" state="hidden" r:id="rId1"/>
    <sheet name="Prihodi" sheetId="2" state="hidden" r:id="rId2"/>
    <sheet name="Rashodi po kontima" sheetId="3" state="hidden" r:id="rId3"/>
    <sheet name="Kreditna zaduženost" sheetId="5" state="hidden" r:id="rId4"/>
    <sheet name="2020" sheetId="9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9" l="1"/>
  <c r="C65" i="9"/>
  <c r="C62" i="9"/>
  <c r="C58" i="9"/>
  <c r="C48" i="9"/>
  <c r="C52" i="9" s="1"/>
  <c r="C24" i="9"/>
  <c r="C19" i="9"/>
  <c r="C12" i="9"/>
  <c r="C15" i="9" s="1"/>
  <c r="C71" i="9" l="1"/>
  <c r="C29" i="9"/>
  <c r="C72" i="9" l="1"/>
  <c r="F71" i="2" l="1"/>
  <c r="C75" i="3"/>
  <c r="C82" i="3"/>
  <c r="C81" i="3"/>
  <c r="C80" i="3"/>
  <c r="C79" i="3"/>
  <c r="C78" i="3"/>
  <c r="C76" i="3"/>
  <c r="D51" i="3"/>
  <c r="E10" i="5"/>
  <c r="E9" i="5"/>
  <c r="E8" i="5"/>
  <c r="D10" i="5"/>
  <c r="D9" i="5"/>
  <c r="D8" i="5"/>
  <c r="O32" i="2"/>
  <c r="C10" i="5"/>
  <c r="A10" i="5"/>
  <c r="C9" i="5"/>
  <c r="C8" i="5"/>
  <c r="O31" i="2"/>
  <c r="A7" i="5"/>
  <c r="A8" i="5" s="1"/>
  <c r="A9" i="5" s="1"/>
  <c r="A6" i="5"/>
  <c r="C32" i="3" l="1"/>
  <c r="D69" i="3" l="1"/>
  <c r="C50" i="3"/>
  <c r="F24" i="2"/>
  <c r="D36" i="2" l="1"/>
  <c r="E31" i="2"/>
  <c r="C35" i="2"/>
  <c r="C34" i="2"/>
  <c r="C33" i="2"/>
  <c r="B36" i="2"/>
  <c r="D31" i="2"/>
  <c r="D45" i="2"/>
  <c r="B45" i="2"/>
  <c r="C44" i="2"/>
  <c r="C45" i="2" s="1"/>
  <c r="C48" i="2"/>
  <c r="C43" i="2"/>
  <c r="C42" i="2"/>
  <c r="I31" i="2"/>
  <c r="H41" i="2"/>
  <c r="E41" i="2"/>
  <c r="D41" i="2"/>
  <c r="H31" i="2"/>
  <c r="I29" i="2"/>
  <c r="I30" i="2"/>
  <c r="B71" i="2"/>
  <c r="D70" i="2"/>
  <c r="D71" i="2" s="1"/>
  <c r="G71" i="2" s="1"/>
  <c r="G73" i="2" s="1"/>
  <c r="D66" i="2"/>
  <c r="F67" i="2"/>
  <c r="D67" i="2"/>
  <c r="F69" i="2"/>
  <c r="D69" i="2"/>
  <c r="D68" i="2"/>
  <c r="G60" i="2"/>
  <c r="D60" i="2"/>
  <c r="F60" i="2"/>
  <c r="B60" i="2"/>
  <c r="F59" i="2"/>
  <c r="D59" i="2"/>
  <c r="F58" i="2"/>
  <c r="D58" i="2"/>
  <c r="F57" i="2"/>
  <c r="D57" i="2"/>
  <c r="I53" i="2"/>
  <c r="H45" i="2" l="1"/>
  <c r="C47" i="2"/>
  <c r="C36" i="2"/>
  <c r="H36" i="2" s="1"/>
  <c r="M36" i="2" s="1"/>
  <c r="D55" i="2" l="1"/>
  <c r="C64" i="3"/>
  <c r="D59" i="3" s="1"/>
  <c r="D45" i="3"/>
  <c r="D48" i="3"/>
  <c r="D38" i="3"/>
  <c r="D16" i="3"/>
  <c r="D23" i="3"/>
  <c r="D35" i="3"/>
  <c r="D41" i="3"/>
  <c r="D40" i="3"/>
  <c r="C39" i="3"/>
  <c r="C20" i="3"/>
  <c r="D9" i="3"/>
  <c r="C30" i="3"/>
  <c r="D27" i="3" s="1"/>
  <c r="E42" i="2" l="1"/>
  <c r="D42" i="2"/>
  <c r="D44" i="2" l="1"/>
  <c r="G51" i="2" l="1"/>
  <c r="E10" i="1"/>
  <c r="G7" i="1"/>
  <c r="F7" i="1"/>
  <c r="D14" i="2"/>
  <c r="C14" i="2"/>
  <c r="D13" i="2"/>
  <c r="C13" i="2"/>
  <c r="D12" i="2"/>
  <c r="D9" i="2"/>
  <c r="D5" i="2"/>
  <c r="D11" i="2"/>
  <c r="C11" i="2"/>
  <c r="D10" i="2"/>
  <c r="D7" i="2"/>
  <c r="C10" i="2"/>
  <c r="D6" i="2"/>
  <c r="D8" i="2"/>
  <c r="D19" i="2" l="1"/>
  <c r="C7" i="2"/>
  <c r="G10" i="1" l="1"/>
  <c r="F10" i="1"/>
  <c r="F9" i="1"/>
  <c r="G9" i="1"/>
  <c r="G5" i="1"/>
  <c r="F5" i="1"/>
  <c r="E9" i="1"/>
  <c r="E5" i="1"/>
</calcChain>
</file>

<file path=xl/sharedStrings.xml><?xml version="1.0" encoding="utf-8"?>
<sst xmlns="http://schemas.openxmlformats.org/spreadsheetml/2006/main" count="189" uniqueCount="163">
  <si>
    <t>LOT II/III a</t>
  </si>
  <si>
    <t>HRK</t>
  </si>
  <si>
    <t>Planirana neto realizacija - do kraja ugovora EUR</t>
  </si>
  <si>
    <t>tečaj</t>
  </si>
  <si>
    <t>TA</t>
  </si>
  <si>
    <t>CS</t>
  </si>
  <si>
    <t>Preprojektiranje</t>
  </si>
  <si>
    <t>s PDV-om</t>
  </si>
  <si>
    <t>PDV</t>
  </si>
  <si>
    <t>Jedinstvo</t>
  </si>
  <si>
    <t>SBERBANK</t>
  </si>
  <si>
    <t>Kamate na oročena sredstva</t>
  </si>
  <si>
    <t>OTP vlastita sredstva HRK</t>
  </si>
  <si>
    <t>OTP vlastita sredstva EUR</t>
  </si>
  <si>
    <t>depozit</t>
  </si>
  <si>
    <t xml:space="preserve">OTP sredstva kredita EUR </t>
  </si>
  <si>
    <t>TERETI</t>
  </si>
  <si>
    <t>kruti tereti</t>
  </si>
  <si>
    <t>tekući tereti</t>
  </si>
  <si>
    <t>NEGATIVNE TEČAJNE RAZLIKE</t>
  </si>
  <si>
    <t>SALDO EIB ZAJMA 31.12.2014.</t>
  </si>
  <si>
    <t>TEČAJ 31.12.2014.</t>
  </si>
  <si>
    <t>TEČAJ 30.6.2015.</t>
  </si>
  <si>
    <t>TEČAJ 31.12.2015.</t>
  </si>
  <si>
    <t xml:space="preserve">OTPLATA </t>
  </si>
  <si>
    <t>SALDO KfW ZAJMA 31.12.2014.</t>
  </si>
  <si>
    <t>RAZLIKA</t>
  </si>
  <si>
    <t>Naknade ostalim osobama izvan radnog odnosa</t>
  </si>
  <si>
    <t>Usluge telefona, pošte, prijevoza</t>
  </si>
  <si>
    <t>usl. pošte</t>
  </si>
  <si>
    <t>usl. prijevoza</t>
  </si>
  <si>
    <t>usl. telefona</t>
  </si>
  <si>
    <t>Usluge promidžbe i informiranja</t>
  </si>
  <si>
    <t>Internet</t>
  </si>
  <si>
    <t xml:space="preserve">Usluge tekućeg i investicijskog održavanja </t>
  </si>
  <si>
    <t>Tr.pranja služb. automobila</t>
  </si>
  <si>
    <t>kom. i prijevoz</t>
  </si>
  <si>
    <t>Tr. auto servisa</t>
  </si>
  <si>
    <t>Tr. inv. održavanja - Gaženica</t>
  </si>
  <si>
    <t>Tr. održavanja pom. signalizacije</t>
  </si>
  <si>
    <t>Tr. održavanja programa</t>
  </si>
  <si>
    <t>Tr. usluge tegljača</t>
  </si>
  <si>
    <t>Tr. održavanja putn. luka</t>
  </si>
  <si>
    <t>usluge objave javnog nadmetanja</t>
  </si>
  <si>
    <t>Izložbeni prostor na sajmu</t>
  </si>
  <si>
    <t>Promidžbeni materijal</t>
  </si>
  <si>
    <t>Komunalne usluge</t>
  </si>
  <si>
    <t>trošak parkinga</t>
  </si>
  <si>
    <t>trošak cestarine</t>
  </si>
  <si>
    <t>opskrba vodom</t>
  </si>
  <si>
    <t>usluge čišćenja, pranja i sl.</t>
  </si>
  <si>
    <t>usluge čuvanja imovine i osoba</t>
  </si>
  <si>
    <t>tr. kom. nakn. i nakn. za uređenje voda</t>
  </si>
  <si>
    <t>skupljanje i zbrinjavanje kom. otpada</t>
  </si>
  <si>
    <t>Tr. ost. servisa</t>
  </si>
  <si>
    <t>Zakupnine i najamnine</t>
  </si>
  <si>
    <t>Najam posl. prostora - Grad</t>
  </si>
  <si>
    <t>Ostali tr. zakupnine</t>
  </si>
  <si>
    <t>Intelektualne i osobne usluge</t>
  </si>
  <si>
    <t>trošak rada putem posredovanja</t>
  </si>
  <si>
    <t>revizorske usluge</t>
  </si>
  <si>
    <t>usluge odvjetnika i pravnog savjetovanja</t>
  </si>
  <si>
    <t>računalne usluge</t>
  </si>
  <si>
    <t>grafičke i tiskarske usluge</t>
  </si>
  <si>
    <t>usluge pri registarciji prijevoznih sredstava</t>
  </si>
  <si>
    <t>geodetsko - katastarske usluge</t>
  </si>
  <si>
    <t xml:space="preserve">Uredski materijal </t>
  </si>
  <si>
    <t>literatura</t>
  </si>
  <si>
    <t>materijal i sredstva za čišćenje i održavanje</t>
  </si>
  <si>
    <t>ostali materijal za potrebe redovnog poslovanja</t>
  </si>
  <si>
    <t>električna energija</t>
  </si>
  <si>
    <t>motorni benzin i dizel gorivo</t>
  </si>
  <si>
    <t>autogume</t>
  </si>
  <si>
    <t>SALDO EIB ZAJMA 31.12.2013.</t>
  </si>
  <si>
    <t>TEČAJ 31.12.2013.</t>
  </si>
  <si>
    <t>TEČAJ 1.3.2015.</t>
  </si>
  <si>
    <t>negativna tečajna razlika za kapitalizirati</t>
  </si>
  <si>
    <t>neg. teč. razlika za Račun PiR</t>
  </si>
  <si>
    <t>ukupno</t>
  </si>
  <si>
    <t>Rashodi za materijal i energiju</t>
  </si>
  <si>
    <t>Trošak reprezentacije</t>
  </si>
  <si>
    <t>Interni</t>
  </si>
  <si>
    <t>Vanjski</t>
  </si>
  <si>
    <t>Medcruise</t>
  </si>
  <si>
    <t>Promidžbeni materijal - Medcruise</t>
  </si>
  <si>
    <t>Lučka uprava Zadar</t>
  </si>
  <si>
    <t>23 000 Zadar</t>
  </si>
  <si>
    <t xml:space="preserve">I. </t>
  </si>
  <si>
    <t>PLANIRANI PRIHODI</t>
  </si>
  <si>
    <t>Prihodi od naplate lučkih pristojbi</t>
  </si>
  <si>
    <t>Prihodi od koncesija</t>
  </si>
  <si>
    <t>Prihodi od naplata pristojbi za izdavanje identifikacijskih iskaznica</t>
  </si>
  <si>
    <t>Prihodi od prodaje roba i pružanja usluga</t>
  </si>
  <si>
    <t>Kamate na oročena sredstva i depozite po viđenju</t>
  </si>
  <si>
    <t>Prihodi od pozitivnih tečajnih razlika</t>
  </si>
  <si>
    <t>Prihodi od financijske imovine</t>
  </si>
  <si>
    <t>Prihodi od donacija iz državnog proračuna - ribarska luka Lamjana</t>
  </si>
  <si>
    <t xml:space="preserve">Prihodi od donacija iz Državnog proračuna </t>
  </si>
  <si>
    <t>Ostali prihodi od donacija</t>
  </si>
  <si>
    <t>Ostali nespomenuti prihodi</t>
  </si>
  <si>
    <t>UKUPNO PRIHODI</t>
  </si>
  <si>
    <t>II.</t>
  </si>
  <si>
    <t>PLANIRANI RASHODI</t>
  </si>
  <si>
    <t>Plaće</t>
  </si>
  <si>
    <t>Ostali rashodi za zaposlene</t>
  </si>
  <si>
    <t>Doprinosi na plaće</t>
  </si>
  <si>
    <t>Službena putovanja</t>
  </si>
  <si>
    <t>Naknade za prijevoz, za rad na terenu i odvojeni život</t>
  </si>
  <si>
    <t>Stručno usavršavanje radnika</t>
  </si>
  <si>
    <t>Naknade troškova zaposlenima</t>
  </si>
  <si>
    <t>Naknade članovima Upravnog vijeća</t>
  </si>
  <si>
    <t>Zdravstvene i veterinarske usluge</t>
  </si>
  <si>
    <t>Računalne usluge</t>
  </si>
  <si>
    <t>Ostale usluge</t>
  </si>
  <si>
    <t>Rashodi za usluge</t>
  </si>
  <si>
    <t>Premije osiguranja</t>
  </si>
  <si>
    <t>Reprezentacija</t>
  </si>
  <si>
    <t>Članarine</t>
  </si>
  <si>
    <t>4294/5</t>
  </si>
  <si>
    <t>Ostali nespomenuti materijalni rashodi</t>
  </si>
  <si>
    <t>Amortizacija</t>
  </si>
  <si>
    <t>Rashodi amortizacije</t>
  </si>
  <si>
    <t>Kamate za primljeni kredit - KfW</t>
  </si>
  <si>
    <t>Kamate za primljeni kredit - EIB</t>
  </si>
  <si>
    <t>Kamate za primljene kredite banaka i ostalih kreditora</t>
  </si>
  <si>
    <t>Bankarske usluge i usluge platnog prometa</t>
  </si>
  <si>
    <t>Negativne tečajne razlike i valutna klauzula</t>
  </si>
  <si>
    <t>Fin. rashodi - KfW commitment fee</t>
  </si>
  <si>
    <t>Ostali financijski rashodi</t>
  </si>
  <si>
    <t>Ostali nespomenuti rashodi</t>
  </si>
  <si>
    <t>UKUPNI RASHODI</t>
  </si>
  <si>
    <t>III.</t>
  </si>
  <si>
    <t xml:space="preserve">VIŠAK (MANJAK) PRIHODA  </t>
  </si>
  <si>
    <t>grafičke i tiskarske usluge - Medruise</t>
  </si>
  <si>
    <t>Stanje zaduženosti 1.1.2015.</t>
  </si>
  <si>
    <t>Novo zaduživanje</t>
  </si>
  <si>
    <t>Otplata u 2015.</t>
  </si>
  <si>
    <t>Smanjenje zaduženosti</t>
  </si>
  <si>
    <t>Smanjenje zaduženosti u %</t>
  </si>
  <si>
    <t>EIB (EUR)</t>
  </si>
  <si>
    <t>KfW (EUR)</t>
  </si>
  <si>
    <t>OTP (kn)</t>
  </si>
  <si>
    <t>Vlaho Đurković 9 mjeseci*20.000</t>
  </si>
  <si>
    <t>05119</t>
  </si>
  <si>
    <t>05513</t>
  </si>
  <si>
    <t>051121</t>
  </si>
  <si>
    <t>Privremena građ. - 20 god.</t>
  </si>
  <si>
    <t>Vrijednost im. u pripremi  25 god.</t>
  </si>
  <si>
    <t>Amortizacija - Nova luka Gaženica</t>
  </si>
  <si>
    <t>radna i zaštitna odjeća</t>
  </si>
  <si>
    <t>Stanje zaduženosti 31.12.2015.</t>
  </si>
  <si>
    <t xml:space="preserve">promidžbene akt. </t>
  </si>
  <si>
    <t xml:space="preserve">Prihodi od zateznih kamata </t>
  </si>
  <si>
    <t>Prihod od naknade štete i refundacija</t>
  </si>
  <si>
    <t>Prihodi od donacija iz Državnog proračuna - Projekt Nova luka Zadar*</t>
  </si>
  <si>
    <t>Prihodi od donacija iz Državnog proračuna - Projekt Nova luka Zadar**</t>
  </si>
  <si>
    <t>Rashodi za nabavu lučke infrastrukture</t>
  </si>
  <si>
    <t>Gaženička cesta 28 A</t>
  </si>
  <si>
    <t>Plan 2020</t>
  </si>
  <si>
    <t>Prihodi od povezanih neprofitnih organizacija za EU projekte</t>
  </si>
  <si>
    <t>Prihodi od nefinancijske imovine</t>
  </si>
  <si>
    <t>2020. GODINU</t>
  </si>
  <si>
    <t>PLAN PRIHODA I RASHODA LUČKE UPRAVE ZADAR 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</si>
</sst>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F_-;\-* #,##0\ _F_-;_-* &quot;-&quot;??\ _F_-;_-@_-"/>
    <numFmt numFmtId="165" formatCode="#,##0.00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5" fillId="0" borderId="1" xfId="0" applyFont="1" applyFill="1" applyBorder="1"/>
    <xf numFmtId="0" fontId="5" fillId="0" borderId="2" xfId="0" applyFont="1" applyFill="1" applyBorder="1"/>
    <xf numFmtId="0" fontId="3" fillId="0" borderId="0" xfId="0" applyFont="1" applyAlignment="1">
      <alignment horizontal="center"/>
    </xf>
    <xf numFmtId="4" fontId="6" fillId="0" borderId="0" xfId="0" applyNumberFormat="1" applyFont="1"/>
    <xf numFmtId="165" fontId="3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64" fontId="2" fillId="0" borderId="0" xfId="1" applyNumberFormat="1" applyFont="1" applyBorder="1" applyAlignment="1"/>
    <xf numFmtId="0" fontId="3" fillId="0" borderId="0" xfId="0" quotePrefix="1" applyFont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Border="1"/>
    <xf numFmtId="3" fontId="10" fillId="0" borderId="0" xfId="0" applyNumberFormat="1" applyFont="1" applyBorder="1"/>
    <xf numFmtId="0" fontId="10" fillId="0" borderId="3" xfId="0" applyFont="1" applyBorder="1"/>
    <xf numFmtId="3" fontId="10" fillId="0" borderId="3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0" fillId="0" borderId="4" xfId="0" applyFont="1" applyBorder="1"/>
    <xf numFmtId="3" fontId="10" fillId="0" borderId="4" xfId="0" applyNumberFormat="1" applyFont="1" applyBorder="1"/>
    <xf numFmtId="4" fontId="10" fillId="0" borderId="4" xfId="0" applyNumberFormat="1" applyFont="1" applyBorder="1"/>
    <xf numFmtId="3" fontId="10" fillId="0" borderId="0" xfId="0" applyNumberFormat="1" applyFont="1"/>
    <xf numFmtId="165" fontId="10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4" fillId="0" borderId="0" xfId="0" applyNumberFormat="1" applyFont="1"/>
    <xf numFmtId="14" fontId="14" fillId="0" borderId="0" xfId="0" applyNumberFormat="1" applyFont="1"/>
    <xf numFmtId="0" fontId="14" fillId="0" borderId="0" xfId="0" applyFont="1" applyFill="1"/>
    <xf numFmtId="0" fontId="17" fillId="0" borderId="0" xfId="0" applyFont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Fill="1" applyBorder="1"/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0" fontId="15" fillId="3" borderId="0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vertical="center"/>
    </xf>
    <xf numFmtId="0" fontId="14" fillId="0" borderId="0" xfId="0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/>
    <xf numFmtId="0" fontId="18" fillId="3" borderId="0" xfId="0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horizontal="right"/>
    </xf>
    <xf numFmtId="3" fontId="17" fillId="0" borderId="0" xfId="0" applyNumberFormat="1" applyFont="1" applyFill="1" applyBorder="1" applyAlignment="1">
      <alignment horizontal="right"/>
    </xf>
    <xf numFmtId="0" fontId="15" fillId="3" borderId="0" xfId="0" applyFont="1" applyFill="1" applyBorder="1" applyAlignment="1">
      <alignment horizontal="right" vertical="center" wrapText="1"/>
    </xf>
    <xf numFmtId="3" fontId="15" fillId="3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workbookViewId="0">
      <selection activeCell="H24" sqref="H24"/>
    </sheetView>
  </sheetViews>
  <sheetFormatPr defaultRowHeight="12.75" x14ac:dyDescent="0.2"/>
  <cols>
    <col min="1" max="2" width="9.140625" style="3"/>
    <col min="3" max="3" width="15.7109375" style="3" bestFit="1" customWidth="1"/>
    <col min="4" max="4" width="44.42578125" style="3" bestFit="1" customWidth="1"/>
    <col min="5" max="6" width="11.7109375" style="3" bestFit="1" customWidth="1"/>
    <col min="7" max="7" width="12.42578125" style="3" bestFit="1" customWidth="1"/>
    <col min="8" max="8" width="10.140625" style="3" bestFit="1" customWidth="1"/>
    <col min="9" max="16384" width="9.140625" style="3"/>
  </cols>
  <sheetData>
    <row r="3" spans="2:8" x14ac:dyDescent="0.2">
      <c r="E3" s="9" t="s">
        <v>3</v>
      </c>
      <c r="F3" s="9">
        <v>7.7</v>
      </c>
    </row>
    <row r="4" spans="2:8" x14ac:dyDescent="0.2">
      <c r="D4" s="3" t="s">
        <v>2</v>
      </c>
      <c r="E4" s="9" t="s">
        <v>1</v>
      </c>
      <c r="F4" s="3" t="s">
        <v>7</v>
      </c>
      <c r="G4" s="3" t="s">
        <v>8</v>
      </c>
    </row>
    <row r="5" spans="2:8" x14ac:dyDescent="0.2">
      <c r="B5" s="3">
        <v>1</v>
      </c>
      <c r="C5" s="3" t="s">
        <v>0</v>
      </c>
      <c r="D5" s="4">
        <v>550000</v>
      </c>
      <c r="E5" s="4">
        <f>+D5*F3</f>
        <v>4235000</v>
      </c>
      <c r="F5" s="4">
        <f>+E5*1.25</f>
        <v>5293750</v>
      </c>
      <c r="G5" s="4">
        <f>+F5-E5</f>
        <v>1058750</v>
      </c>
      <c r="H5" s="4"/>
    </row>
    <row r="6" spans="2:8" x14ac:dyDescent="0.2">
      <c r="C6" s="3" t="s">
        <v>4</v>
      </c>
      <c r="D6" s="19">
        <v>299022.4640160558</v>
      </c>
      <c r="E6" s="4"/>
      <c r="F6" s="4"/>
      <c r="G6" s="4"/>
      <c r="H6" s="4"/>
    </row>
    <row r="7" spans="2:8" x14ac:dyDescent="0.2">
      <c r="D7" s="19"/>
      <c r="E7" s="4">
        <v>1949490.2602712987</v>
      </c>
      <c r="F7" s="4">
        <f>+E7*1.25</f>
        <v>2436862.8253391236</v>
      </c>
      <c r="G7" s="4">
        <f>+F7-E7</f>
        <v>487372.56506782491</v>
      </c>
      <c r="H7" s="4"/>
    </row>
    <row r="8" spans="2:8" x14ac:dyDescent="0.2">
      <c r="C8" s="3" t="s">
        <v>5</v>
      </c>
      <c r="D8" s="4"/>
      <c r="E8" s="4"/>
      <c r="F8" s="4"/>
      <c r="G8" s="4"/>
      <c r="H8" s="4"/>
    </row>
    <row r="9" spans="2:8" x14ac:dyDescent="0.2">
      <c r="C9" s="3" t="s">
        <v>6</v>
      </c>
      <c r="D9" s="4">
        <v>700000</v>
      </c>
      <c r="E9" s="4">
        <f>+D9*F3</f>
        <v>5390000</v>
      </c>
      <c r="F9" s="4">
        <f>+E9*1.25</f>
        <v>6737500</v>
      </c>
      <c r="G9" s="4">
        <f>+F9-E9</f>
        <v>1347500</v>
      </c>
      <c r="H9" s="4"/>
    </row>
    <row r="10" spans="2:8" x14ac:dyDescent="0.2">
      <c r="C10" s="3" t="s">
        <v>9</v>
      </c>
      <c r="D10" s="4"/>
      <c r="E10" s="4">
        <f>67246.7+100000</f>
        <v>167246.70000000001</v>
      </c>
      <c r="F10" s="4">
        <f>+E10*1.25</f>
        <v>209058.375</v>
      </c>
      <c r="G10" s="4">
        <f>+F10-E10</f>
        <v>41811.674999999988</v>
      </c>
      <c r="H10" s="4"/>
    </row>
    <row r="11" spans="2:8" x14ac:dyDescent="0.2">
      <c r="D11" s="4"/>
      <c r="E11" s="4"/>
      <c r="F11" s="4"/>
      <c r="G11" s="4"/>
      <c r="H11" s="4"/>
    </row>
    <row r="12" spans="2:8" x14ac:dyDescent="0.2">
      <c r="D12" s="4"/>
      <c r="E12" s="4"/>
      <c r="F12" s="4"/>
      <c r="G12" s="4"/>
      <c r="H12" s="4"/>
    </row>
    <row r="13" spans="2:8" x14ac:dyDescent="0.2">
      <c r="D13" s="4"/>
      <c r="E13" s="4"/>
      <c r="F13" s="4"/>
      <c r="G13" s="4"/>
      <c r="H13" s="4"/>
    </row>
    <row r="14" spans="2:8" x14ac:dyDescent="0.2">
      <c r="D14" s="4"/>
      <c r="E14" s="4"/>
      <c r="F14" s="4"/>
      <c r="G14" s="4"/>
      <c r="H14" s="4"/>
    </row>
    <row r="15" spans="2:8" x14ac:dyDescent="0.2">
      <c r="D15" s="4"/>
      <c r="E15" s="4"/>
      <c r="F15" s="4"/>
      <c r="G15" s="4"/>
      <c r="H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77"/>
  <sheetViews>
    <sheetView workbookViewId="0">
      <selection activeCell="D76" sqref="D76"/>
    </sheetView>
  </sheetViews>
  <sheetFormatPr defaultRowHeight="12.75" x14ac:dyDescent="0.2"/>
  <cols>
    <col min="1" max="1" width="9.140625" style="3"/>
    <col min="2" max="2" width="27" style="3" bestFit="1" customWidth="1"/>
    <col min="3" max="3" width="27" style="3" customWidth="1"/>
    <col min="4" max="4" width="16.42578125" style="3" bestFit="1" customWidth="1"/>
    <col min="5" max="5" width="15.42578125" style="3" bestFit="1" customWidth="1"/>
    <col min="6" max="6" width="16.42578125" style="3" bestFit="1" customWidth="1"/>
    <col min="7" max="7" width="14.5703125" style="3" bestFit="1" customWidth="1"/>
    <col min="8" max="8" width="13.7109375" style="3" bestFit="1" customWidth="1"/>
    <col min="9" max="9" width="11.140625" style="3" bestFit="1" customWidth="1"/>
    <col min="10" max="12" width="9.140625" style="3"/>
    <col min="13" max="13" width="10.5703125" style="3" bestFit="1" customWidth="1"/>
    <col min="14" max="14" width="9.140625" style="3"/>
    <col min="15" max="15" width="10.85546875" style="3" bestFit="1" customWidth="1"/>
    <col min="16" max="16384" width="9.140625" style="3"/>
  </cols>
  <sheetData>
    <row r="4" spans="1:5" x14ac:dyDescent="0.2">
      <c r="A4" s="3">
        <v>1</v>
      </c>
      <c r="B4" s="3" t="s">
        <v>11</v>
      </c>
      <c r="C4" s="9" t="s">
        <v>14</v>
      </c>
    </row>
    <row r="5" spans="1:5" x14ac:dyDescent="0.2">
      <c r="B5" s="3" t="s">
        <v>10</v>
      </c>
      <c r="C5" s="4">
        <v>7500000</v>
      </c>
      <c r="D5" s="4">
        <f>C5*1.25*300/36000</f>
        <v>78125</v>
      </c>
      <c r="E5" s="4"/>
    </row>
    <row r="6" spans="1:5" x14ac:dyDescent="0.2">
      <c r="B6" s="3" t="s">
        <v>12</v>
      </c>
      <c r="C6" s="4">
        <v>8000000</v>
      </c>
      <c r="D6" s="4">
        <f>8000000*1.9*90/36000</f>
        <v>38000</v>
      </c>
      <c r="E6" s="4"/>
    </row>
    <row r="7" spans="1:5" x14ac:dyDescent="0.2">
      <c r="B7" s="3" t="s">
        <v>13</v>
      </c>
      <c r="C7" s="4">
        <f>410000*7.65</f>
        <v>3136500</v>
      </c>
      <c r="D7" s="4">
        <f>410000*7.65*1.5*90/36000</f>
        <v>11761.875</v>
      </c>
      <c r="E7" s="4"/>
    </row>
    <row r="8" spans="1:5" x14ac:dyDescent="0.2">
      <c r="B8" s="3" t="s">
        <v>12</v>
      </c>
      <c r="C8" s="4">
        <v>8000000</v>
      </c>
      <c r="D8" s="4">
        <f>90*1.6*C8/36000</f>
        <v>32000</v>
      </c>
      <c r="E8" s="4"/>
    </row>
    <row r="9" spans="1:5" x14ac:dyDescent="0.2">
      <c r="B9" s="3" t="s">
        <v>12</v>
      </c>
      <c r="C9" s="4">
        <v>8000000</v>
      </c>
      <c r="D9" s="4">
        <f>+C9*90*1.5/36000</f>
        <v>30000</v>
      </c>
      <c r="E9" s="4"/>
    </row>
    <row r="10" spans="1:5" x14ac:dyDescent="0.2">
      <c r="B10" s="3" t="s">
        <v>13</v>
      </c>
      <c r="C10" s="4">
        <f>410000*7.65</f>
        <v>3136500</v>
      </c>
      <c r="D10" s="4">
        <f>410000*7.65*1.4*90/36000</f>
        <v>10977.75</v>
      </c>
      <c r="E10" s="4"/>
    </row>
    <row r="11" spans="1:5" x14ac:dyDescent="0.2">
      <c r="B11" s="3" t="s">
        <v>13</v>
      </c>
      <c r="C11" s="4">
        <f>410000*7.65</f>
        <v>3136500</v>
      </c>
      <c r="D11" s="4">
        <f>410000*7.65*1.3*180/36000</f>
        <v>20387.25</v>
      </c>
      <c r="E11" s="4"/>
    </row>
    <row r="12" spans="1:5" x14ac:dyDescent="0.2">
      <c r="B12" s="3" t="s">
        <v>12</v>
      </c>
      <c r="C12" s="4">
        <v>8000000</v>
      </c>
      <c r="D12" s="4">
        <f>+C12*90*1.5/36000</f>
        <v>30000</v>
      </c>
      <c r="E12" s="4"/>
    </row>
    <row r="13" spans="1:5" x14ac:dyDescent="0.2">
      <c r="B13" s="3" t="s">
        <v>12</v>
      </c>
      <c r="C13" s="4">
        <f>8000000+8000000</f>
        <v>16000000</v>
      </c>
      <c r="D13" s="4">
        <f>+C13*180*1.4/36000</f>
        <v>111999.99999999999</v>
      </c>
      <c r="E13" s="4"/>
    </row>
    <row r="14" spans="1:5" x14ac:dyDescent="0.2">
      <c r="B14" s="3" t="s">
        <v>15</v>
      </c>
      <c r="C14" s="4">
        <f>200000*7.65</f>
        <v>1530000</v>
      </c>
      <c r="D14" s="4">
        <f>+C14*1*300/36000</f>
        <v>12750</v>
      </c>
      <c r="E14" s="4"/>
    </row>
    <row r="15" spans="1:5" x14ac:dyDescent="0.2">
      <c r="C15" s="4"/>
      <c r="D15" s="4"/>
      <c r="E15" s="4"/>
    </row>
    <row r="16" spans="1:5" x14ac:dyDescent="0.2">
      <c r="C16" s="4"/>
      <c r="D16" s="4"/>
      <c r="E16" s="4"/>
    </row>
    <row r="17" spans="2:15" x14ac:dyDescent="0.2">
      <c r="C17" s="4"/>
      <c r="D17" s="4"/>
      <c r="E17" s="4"/>
    </row>
    <row r="18" spans="2:15" x14ac:dyDescent="0.2">
      <c r="C18" s="4"/>
      <c r="D18" s="4"/>
      <c r="E18" s="4"/>
    </row>
    <row r="19" spans="2:15" x14ac:dyDescent="0.2">
      <c r="C19" s="4"/>
      <c r="D19" s="4">
        <f>SUM(D5:D14)</f>
        <v>376001.875</v>
      </c>
      <c r="E19" s="4"/>
    </row>
    <row r="20" spans="2:15" x14ac:dyDescent="0.2">
      <c r="C20" s="4"/>
      <c r="D20" s="4"/>
      <c r="E20" s="4"/>
    </row>
    <row r="21" spans="2:15" x14ac:dyDescent="0.2">
      <c r="C21" s="4"/>
      <c r="D21" s="4"/>
      <c r="E21" s="4"/>
    </row>
    <row r="22" spans="2:15" x14ac:dyDescent="0.2">
      <c r="B22" s="3" t="s">
        <v>16</v>
      </c>
      <c r="D22" s="4"/>
      <c r="E22" s="4"/>
    </row>
    <row r="23" spans="2:15" x14ac:dyDescent="0.2">
      <c r="B23" s="3" t="s">
        <v>17</v>
      </c>
      <c r="D23" s="4"/>
      <c r="E23" s="4"/>
    </row>
    <row r="24" spans="2:15" x14ac:dyDescent="0.2">
      <c r="B24" s="3" t="s">
        <v>18</v>
      </c>
      <c r="D24" s="4"/>
      <c r="E24" s="4"/>
      <c r="F24" s="4">
        <f>+C31+C41</f>
        <v>144766542.31999999</v>
      </c>
    </row>
    <row r="25" spans="2:15" x14ac:dyDescent="0.2">
      <c r="D25" s="4"/>
      <c r="E25" s="4"/>
    </row>
    <row r="26" spans="2:15" x14ac:dyDescent="0.2">
      <c r="D26" s="4"/>
      <c r="E26" s="4"/>
    </row>
    <row r="28" spans="2:15" x14ac:dyDescent="0.2">
      <c r="D28" s="3" t="s">
        <v>21</v>
      </c>
      <c r="E28" s="3" t="s">
        <v>75</v>
      </c>
      <c r="F28" s="3" t="s">
        <v>22</v>
      </c>
      <c r="G28" s="3" t="s">
        <v>23</v>
      </c>
      <c r="H28" s="3" t="s">
        <v>26</v>
      </c>
    </row>
    <row r="29" spans="2:15" x14ac:dyDescent="0.2">
      <c r="D29" s="3">
        <v>7.6614709999999997</v>
      </c>
      <c r="E29" s="3">
        <v>7.7</v>
      </c>
      <c r="F29" s="3">
        <v>7.71</v>
      </c>
      <c r="G29" s="3">
        <v>7.75</v>
      </c>
      <c r="I29" s="16">
        <f>+G29-E29</f>
        <v>4.9999999999999822E-2</v>
      </c>
    </row>
    <row r="30" spans="2:15" x14ac:dyDescent="0.2">
      <c r="B30" s="3" t="s">
        <v>19</v>
      </c>
      <c r="H30" s="9"/>
      <c r="I30" s="16">
        <f>+F29-E29</f>
        <v>9.9999999999997868E-3</v>
      </c>
    </row>
    <row r="31" spans="2:15" x14ac:dyDescent="0.2">
      <c r="B31" s="3" t="s">
        <v>20</v>
      </c>
      <c r="C31" s="12">
        <v>76385365.849999994</v>
      </c>
      <c r="D31" s="12">
        <f>+C31*D29</f>
        <v>585224265.28416526</v>
      </c>
      <c r="E31" s="12">
        <f>+C31*E29</f>
        <v>588167317.04499996</v>
      </c>
      <c r="F31" s="13"/>
      <c r="G31" s="13"/>
      <c r="H31" s="10">
        <f>+D31-E31</f>
        <v>-2943051.7608346939</v>
      </c>
      <c r="I31" s="18">
        <f>+H31+H41</f>
        <v>-5577710.1090473533</v>
      </c>
      <c r="J31" s="14" t="s">
        <v>76</v>
      </c>
      <c r="K31" s="14"/>
      <c r="L31" s="14"/>
      <c r="O31" s="4">
        <f>+B33+B34+B35</f>
        <v>331707.32</v>
      </c>
    </row>
    <row r="32" spans="2:15" x14ac:dyDescent="0.2">
      <c r="B32" s="3" t="s">
        <v>24</v>
      </c>
      <c r="C32" s="4"/>
      <c r="O32" s="4">
        <f>+B42+B44</f>
        <v>14117647.060000001</v>
      </c>
    </row>
    <row r="33" spans="2:13" x14ac:dyDescent="0.2">
      <c r="B33" s="4">
        <v>14634.15</v>
      </c>
      <c r="C33" s="4">
        <f>+B33*F29</f>
        <v>112829.2965</v>
      </c>
      <c r="D33" s="4"/>
      <c r="E33" s="4"/>
      <c r="F33" s="4"/>
      <c r="G33" s="4"/>
      <c r="H33" s="4"/>
    </row>
    <row r="34" spans="2:13" x14ac:dyDescent="0.2">
      <c r="B34" s="4">
        <v>14634.15</v>
      </c>
      <c r="C34" s="4">
        <f>+B34*F29</f>
        <v>112829.2965</v>
      </c>
      <c r="D34" s="4"/>
      <c r="E34" s="4"/>
      <c r="F34" s="4"/>
      <c r="G34" s="4"/>
      <c r="H34" s="4"/>
    </row>
    <row r="35" spans="2:13" x14ac:dyDescent="0.2">
      <c r="B35" s="4">
        <v>302439.02</v>
      </c>
      <c r="C35" s="4">
        <f>+B35*G29</f>
        <v>2343902.4050000003</v>
      </c>
      <c r="D35" s="4"/>
      <c r="E35" s="4"/>
      <c r="F35" s="4"/>
      <c r="G35" s="4"/>
      <c r="H35" s="4"/>
    </row>
    <row r="36" spans="2:13" x14ac:dyDescent="0.2">
      <c r="B36" s="4">
        <f>+C31-B33-B34-B35</f>
        <v>76053658.529999986</v>
      </c>
      <c r="C36" s="4">
        <f>+E31-C33-C34-C35</f>
        <v>585597756.04700005</v>
      </c>
      <c r="D36" s="4">
        <f>+B36*G29</f>
        <v>589415853.60749984</v>
      </c>
      <c r="E36" s="4"/>
      <c r="F36" s="4"/>
      <c r="G36" s="4"/>
      <c r="H36" s="17">
        <f>+C36-D36</f>
        <v>-3818097.5604997873</v>
      </c>
      <c r="I36" s="15" t="s">
        <v>77</v>
      </c>
      <c r="L36" s="15" t="s">
        <v>78</v>
      </c>
      <c r="M36" s="18">
        <f>+H36+H45</f>
        <v>-6994803.442799747</v>
      </c>
    </row>
    <row r="37" spans="2:13" x14ac:dyDescent="0.2">
      <c r="B37" s="4"/>
      <c r="C37" s="4"/>
      <c r="D37" s="4"/>
      <c r="E37" s="4"/>
      <c r="F37" s="4"/>
      <c r="G37" s="4"/>
      <c r="H37" s="4"/>
    </row>
    <row r="38" spans="2:13" x14ac:dyDescent="0.2">
      <c r="B38" s="4"/>
      <c r="C38" s="4"/>
      <c r="D38" s="4"/>
      <c r="E38" s="4"/>
      <c r="F38" s="4"/>
      <c r="G38" s="4"/>
      <c r="H38" s="4"/>
    </row>
    <row r="39" spans="2:13" x14ac:dyDescent="0.2">
      <c r="B39" s="4"/>
      <c r="C39" s="4"/>
      <c r="D39" s="4"/>
      <c r="E39" s="4"/>
      <c r="F39" s="4"/>
      <c r="G39" s="4"/>
      <c r="H39" s="10"/>
    </row>
    <row r="40" spans="2:13" x14ac:dyDescent="0.2">
      <c r="C40" s="4"/>
      <c r="D40" s="4"/>
      <c r="E40" s="4"/>
      <c r="F40" s="4"/>
      <c r="G40" s="4"/>
      <c r="H40" s="4"/>
    </row>
    <row r="41" spans="2:13" x14ac:dyDescent="0.2">
      <c r="B41" s="3" t="s">
        <v>25</v>
      </c>
      <c r="C41" s="12">
        <v>68381176.469999999</v>
      </c>
      <c r="D41" s="12">
        <f>+C41*D29</f>
        <v>523900400.47078735</v>
      </c>
      <c r="E41" s="12">
        <f>+C41*E29</f>
        <v>526535058.81900001</v>
      </c>
      <c r="F41" s="12"/>
      <c r="G41" s="12"/>
      <c r="H41" s="10">
        <f>+D41-E41</f>
        <v>-2634658.3482126594</v>
      </c>
      <c r="I41" s="14" t="s">
        <v>76</v>
      </c>
    </row>
    <row r="42" spans="2:13" x14ac:dyDescent="0.2">
      <c r="B42" s="4">
        <v>7058823.5300000003</v>
      </c>
      <c r="C42" s="4">
        <f>+B42*F29</f>
        <v>54423529.416299999</v>
      </c>
      <c r="D42" s="4">
        <f>+C42*D29</f>
        <v>416964292.34062934</v>
      </c>
      <c r="E42" s="4">
        <f>+C42*E29</f>
        <v>419061176.50550997</v>
      </c>
      <c r="F42" s="4"/>
      <c r="G42" s="4"/>
      <c r="H42" s="4"/>
    </row>
    <row r="43" spans="2:13" x14ac:dyDescent="0.2">
      <c r="B43" s="4">
        <v>1000000</v>
      </c>
      <c r="C43" s="4">
        <f>+B43*F29</f>
        <v>7710000</v>
      </c>
      <c r="D43" s="4"/>
      <c r="E43" s="4"/>
      <c r="F43" s="4"/>
      <c r="G43" s="4"/>
      <c r="H43" s="4"/>
    </row>
    <row r="44" spans="2:13" x14ac:dyDescent="0.2">
      <c r="B44" s="4">
        <v>7058823.5300000003</v>
      </c>
      <c r="C44" s="4">
        <f>+B44*G29</f>
        <v>54705882.357500002</v>
      </c>
      <c r="D44" s="4">
        <f>+C44*D29</f>
        <v>419127531.21139789</v>
      </c>
      <c r="E44" s="4"/>
      <c r="F44" s="4"/>
      <c r="G44" s="4"/>
      <c r="H44" s="4"/>
    </row>
    <row r="45" spans="2:13" x14ac:dyDescent="0.2">
      <c r="B45" s="4">
        <f>+C41-B42+B43-B44</f>
        <v>55263529.409999996</v>
      </c>
      <c r="C45" s="4">
        <f>+E41-C42+C43-C44</f>
        <v>425115647.04519999</v>
      </c>
      <c r="D45" s="4">
        <f>+B45*G29</f>
        <v>428292352.92749995</v>
      </c>
      <c r="E45" s="4"/>
      <c r="F45" s="4"/>
      <c r="G45" s="4"/>
      <c r="H45" s="17">
        <f>+C45-D45</f>
        <v>-3176705.8822999597</v>
      </c>
      <c r="I45" s="15" t="s">
        <v>77</v>
      </c>
    </row>
    <row r="46" spans="2:13" x14ac:dyDescent="0.2">
      <c r="C46" s="4"/>
      <c r="D46" s="4"/>
      <c r="E46" s="4"/>
      <c r="F46" s="4"/>
      <c r="G46" s="4"/>
      <c r="H46" s="4"/>
    </row>
    <row r="47" spans="2:13" x14ac:dyDescent="0.2">
      <c r="C47" s="4">
        <f>+E41-C42+C43-C44</f>
        <v>425115647.04519999</v>
      </c>
      <c r="D47" s="4"/>
      <c r="E47" s="4"/>
      <c r="F47" s="4"/>
      <c r="G47" s="4"/>
      <c r="H47" s="10"/>
    </row>
    <row r="48" spans="2:13" x14ac:dyDescent="0.2">
      <c r="C48" s="4">
        <f>+C41-B42+B43-B44</f>
        <v>55263529.409999996</v>
      </c>
    </row>
    <row r="49" spans="2:9" x14ac:dyDescent="0.2">
      <c r="C49" s="4"/>
    </row>
    <row r="50" spans="2:9" x14ac:dyDescent="0.2">
      <c r="C50" s="4"/>
    </row>
    <row r="51" spans="2:9" x14ac:dyDescent="0.2">
      <c r="C51" s="4"/>
      <c r="G51" s="10">
        <f>+G47+G39</f>
        <v>0</v>
      </c>
    </row>
    <row r="52" spans="2:9" x14ac:dyDescent="0.2">
      <c r="D52" s="3" t="s">
        <v>74</v>
      </c>
      <c r="E52" s="3" t="s">
        <v>22</v>
      </c>
      <c r="F52" s="3" t="s">
        <v>21</v>
      </c>
      <c r="G52" s="3" t="s">
        <v>26</v>
      </c>
    </row>
    <row r="53" spans="2:9" x14ac:dyDescent="0.2">
      <c r="D53" s="3">
        <v>7.6376429999999997</v>
      </c>
      <c r="E53" s="3">
        <v>7.7</v>
      </c>
      <c r="F53" s="3">
        <v>7.6614709999999997</v>
      </c>
      <c r="I53" s="15">
        <f>+F53-D53</f>
        <v>2.382799999999996E-2</v>
      </c>
    </row>
    <row r="54" spans="2:9" x14ac:dyDescent="0.2">
      <c r="B54" s="3" t="s">
        <v>19</v>
      </c>
      <c r="G54" s="9"/>
    </row>
    <row r="55" spans="2:9" x14ac:dyDescent="0.2">
      <c r="B55" s="3" t="s">
        <v>73</v>
      </c>
      <c r="C55" s="4">
        <v>66200000</v>
      </c>
      <c r="D55" s="3">
        <f>+C55*D53</f>
        <v>505611966.59999996</v>
      </c>
    </row>
    <row r="56" spans="2:9" x14ac:dyDescent="0.2">
      <c r="B56" s="3" t="s">
        <v>24</v>
      </c>
      <c r="C56" s="4"/>
    </row>
    <row r="57" spans="2:9" x14ac:dyDescent="0.2">
      <c r="B57" s="4">
        <v>14634.15</v>
      </c>
      <c r="C57" s="11">
        <v>7.6294209999999998</v>
      </c>
      <c r="D57" s="4">
        <f>+B57*C57</f>
        <v>111650.09132714999</v>
      </c>
      <c r="E57" s="4"/>
      <c r="F57" s="4">
        <f>+B57*F53</f>
        <v>112119.11583464999</v>
      </c>
      <c r="G57" s="4"/>
    </row>
    <row r="58" spans="2:9" x14ac:dyDescent="0.2">
      <c r="B58" s="4">
        <v>14634.15</v>
      </c>
      <c r="C58" s="11">
        <v>7.6403809999999996</v>
      </c>
      <c r="D58" s="4">
        <f>+B58*C58</f>
        <v>111810.48161115</v>
      </c>
      <c r="E58" s="4"/>
      <c r="F58" s="4">
        <f>+B58*F53</f>
        <v>112119.11583464999</v>
      </c>
      <c r="G58" s="4"/>
    </row>
    <row r="59" spans="2:9" x14ac:dyDescent="0.2">
      <c r="B59" s="4">
        <v>10200000</v>
      </c>
      <c r="C59" s="11">
        <v>7.610919</v>
      </c>
      <c r="D59" s="4">
        <f>+B59*C59</f>
        <v>77631373.799999997</v>
      </c>
      <c r="E59" s="4"/>
      <c r="F59" s="4">
        <f>+B59*F53</f>
        <v>78147004.200000003</v>
      </c>
      <c r="G59" s="4"/>
    </row>
    <row r="60" spans="2:9" x14ac:dyDescent="0.2">
      <c r="B60" s="4">
        <f>+B59+C55-B57-B58</f>
        <v>76370731.699999988</v>
      </c>
      <c r="C60" s="11"/>
      <c r="D60" s="4">
        <f>+D55-D57-D58+D59</f>
        <v>583019879.82706165</v>
      </c>
      <c r="E60" s="4"/>
      <c r="F60" s="4">
        <f>+F53*B60</f>
        <v>585112146.16833055</v>
      </c>
      <c r="G60" s="10">
        <f>+D60-F60</f>
        <v>-2092266.3412688971</v>
      </c>
    </row>
    <row r="61" spans="2:9" x14ac:dyDescent="0.2">
      <c r="B61" s="4"/>
      <c r="C61" s="4"/>
      <c r="D61" s="4"/>
      <c r="E61" s="4"/>
      <c r="F61" s="4"/>
      <c r="G61" s="4"/>
    </row>
    <row r="62" spans="2:9" x14ac:dyDescent="0.2">
      <c r="B62" s="4"/>
      <c r="C62" s="4"/>
      <c r="D62" s="4"/>
      <c r="E62" s="4"/>
      <c r="F62" s="4"/>
      <c r="G62" s="4"/>
    </row>
    <row r="63" spans="2:9" x14ac:dyDescent="0.2">
      <c r="B63" s="4"/>
      <c r="C63" s="4"/>
      <c r="D63" s="4"/>
      <c r="E63" s="4"/>
      <c r="F63" s="4"/>
      <c r="G63" s="4"/>
    </row>
    <row r="64" spans="2:9" x14ac:dyDescent="0.2">
      <c r="B64" s="4"/>
      <c r="C64" s="4"/>
      <c r="D64" s="4"/>
      <c r="E64" s="4"/>
      <c r="F64" s="4"/>
      <c r="G64" s="10"/>
    </row>
    <row r="65" spans="2:7" x14ac:dyDescent="0.2">
      <c r="C65" s="4"/>
      <c r="D65" s="4"/>
      <c r="E65" s="4"/>
      <c r="F65" s="4"/>
      <c r="G65" s="4"/>
    </row>
    <row r="66" spans="2:7" x14ac:dyDescent="0.2">
      <c r="B66" s="3" t="s">
        <v>25</v>
      </c>
      <c r="C66" s="4">
        <v>69440000</v>
      </c>
      <c r="D66" s="4">
        <f>+C66*D53</f>
        <v>530357929.91999996</v>
      </c>
      <c r="E66" s="4"/>
      <c r="F66" s="4"/>
      <c r="G66" s="4"/>
    </row>
    <row r="67" spans="2:7" x14ac:dyDescent="0.2">
      <c r="B67" s="4">
        <v>2300000</v>
      </c>
      <c r="C67" s="11">
        <v>7.6120469999999996</v>
      </c>
      <c r="D67" s="4">
        <f>+B67*C67</f>
        <v>17507708.099999998</v>
      </c>
      <c r="E67" s="4"/>
      <c r="F67" s="4">
        <f>+B67*F53</f>
        <v>17621383.300000001</v>
      </c>
      <c r="G67" s="4"/>
    </row>
    <row r="68" spans="2:7" x14ac:dyDescent="0.2">
      <c r="B68" s="4">
        <v>7058823.5300000003</v>
      </c>
      <c r="C68" s="11">
        <v>7.5677709999999996</v>
      </c>
      <c r="D68" s="4">
        <f>+B68*C68</f>
        <v>53419560.004451632</v>
      </c>
      <c r="E68" s="4"/>
      <c r="F68" s="4"/>
      <c r="G68" s="4"/>
    </row>
    <row r="69" spans="2:7" x14ac:dyDescent="0.2">
      <c r="B69" s="4">
        <v>3700000</v>
      </c>
      <c r="C69" s="11">
        <v>7.6077149999999998</v>
      </c>
      <c r="D69" s="4">
        <f>+B69*C69</f>
        <v>28148545.5</v>
      </c>
      <c r="E69" s="4"/>
      <c r="F69" s="4">
        <f>+B69*F53</f>
        <v>28347442.699999999</v>
      </c>
      <c r="G69" s="4"/>
    </row>
    <row r="70" spans="2:7" x14ac:dyDescent="0.2">
      <c r="B70" s="4">
        <v>7058823.5300000003</v>
      </c>
      <c r="C70" s="11">
        <v>7.6639860000000004</v>
      </c>
      <c r="D70" s="4">
        <f>+B70*C70</f>
        <v>54098724.710390583</v>
      </c>
      <c r="E70" s="4"/>
      <c r="F70" s="4"/>
      <c r="G70" s="4"/>
    </row>
    <row r="71" spans="2:7" x14ac:dyDescent="0.2">
      <c r="B71" s="4">
        <f>+C66+B67-B68+B69-B70</f>
        <v>61322352.939999998</v>
      </c>
      <c r="C71" s="4"/>
      <c r="D71" s="4">
        <f>+D66+D67-D68+D69-D70</f>
        <v>468495898.80515778</v>
      </c>
      <c r="E71" s="4"/>
      <c r="F71" s="4">
        <f>+B71*F53</f>
        <v>469819428.70157468</v>
      </c>
      <c r="G71" s="10">
        <f>+D71-F71</f>
        <v>-1323529.8964169025</v>
      </c>
    </row>
    <row r="72" spans="2:7" x14ac:dyDescent="0.2">
      <c r="C72" s="4"/>
      <c r="D72" s="4"/>
      <c r="E72" s="4"/>
      <c r="F72" s="4"/>
      <c r="G72" s="4"/>
    </row>
    <row r="73" spans="2:7" x14ac:dyDescent="0.2">
      <c r="C73" s="4"/>
      <c r="D73" s="4"/>
      <c r="E73" s="4"/>
      <c r="F73" s="4"/>
      <c r="G73" s="10">
        <f>+G60+G71</f>
        <v>-3415796.2376857996</v>
      </c>
    </row>
    <row r="74" spans="2:7" x14ac:dyDescent="0.2">
      <c r="C74" s="4"/>
    </row>
    <row r="75" spans="2:7" x14ac:dyDescent="0.2">
      <c r="C75" s="4"/>
    </row>
    <row r="76" spans="2:7" x14ac:dyDescent="0.2">
      <c r="C76" s="4"/>
    </row>
    <row r="77" spans="2:7" x14ac:dyDescent="0.2">
      <c r="C77" s="4"/>
      <c r="G7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82"/>
  <sheetViews>
    <sheetView topLeftCell="A16" workbookViewId="0">
      <selection activeCell="C28" sqref="C28"/>
    </sheetView>
  </sheetViews>
  <sheetFormatPr defaultRowHeight="12.75" x14ac:dyDescent="0.2"/>
  <cols>
    <col min="1" max="1" width="6" style="3" customWidth="1"/>
    <col min="2" max="2" width="43.85546875" style="3" bestFit="1" customWidth="1"/>
    <col min="3" max="3" width="13.140625" style="3" bestFit="1" customWidth="1"/>
    <col min="4" max="4" width="10" style="3" bestFit="1" customWidth="1"/>
    <col min="5" max="16384" width="9.140625" style="3"/>
  </cols>
  <sheetData>
    <row r="5" spans="1:4" x14ac:dyDescent="0.2">
      <c r="A5" s="3">
        <v>424</v>
      </c>
      <c r="B5" s="3" t="s">
        <v>27</v>
      </c>
    </row>
    <row r="6" spans="1:4" x14ac:dyDescent="0.2">
      <c r="B6" s="3" t="s">
        <v>142</v>
      </c>
      <c r="C6" s="5">
        <v>180000</v>
      </c>
    </row>
    <row r="7" spans="1:4" x14ac:dyDescent="0.2">
      <c r="C7" s="4"/>
    </row>
    <row r="8" spans="1:4" x14ac:dyDescent="0.2">
      <c r="A8" s="1">
        <v>4251</v>
      </c>
      <c r="B8" s="2" t="s">
        <v>28</v>
      </c>
      <c r="C8" s="5">
        <v>100000</v>
      </c>
    </row>
    <row r="9" spans="1:4" x14ac:dyDescent="0.2">
      <c r="B9" s="3" t="s">
        <v>29</v>
      </c>
      <c r="C9" s="4">
        <v>5000</v>
      </c>
      <c r="D9" s="4">
        <f>SUM(C9:C13)</f>
        <v>101200</v>
      </c>
    </row>
    <row r="10" spans="1:4" x14ac:dyDescent="0.2">
      <c r="B10" s="3" t="s">
        <v>30</v>
      </c>
      <c r="C10" s="4">
        <v>15000</v>
      </c>
    </row>
    <row r="11" spans="1:4" x14ac:dyDescent="0.2">
      <c r="B11" s="3" t="s">
        <v>31</v>
      </c>
      <c r="C11" s="4">
        <v>70000</v>
      </c>
    </row>
    <row r="12" spans="1:4" x14ac:dyDescent="0.2">
      <c r="B12" s="3" t="s">
        <v>33</v>
      </c>
      <c r="C12" s="4">
        <v>10000</v>
      </c>
    </row>
    <row r="13" spans="1:4" x14ac:dyDescent="0.2">
      <c r="B13" s="3" t="s">
        <v>36</v>
      </c>
      <c r="C13" s="4">
        <v>1200</v>
      </c>
    </row>
    <row r="14" spans="1:4" x14ac:dyDescent="0.2">
      <c r="C14" s="4"/>
    </row>
    <row r="15" spans="1:4" x14ac:dyDescent="0.2">
      <c r="C15" s="4"/>
    </row>
    <row r="16" spans="1:4" x14ac:dyDescent="0.2">
      <c r="A16" s="7">
        <v>4252</v>
      </c>
      <c r="B16" s="8" t="s">
        <v>34</v>
      </c>
      <c r="C16" s="5">
        <v>1700000</v>
      </c>
      <c r="D16" s="4">
        <f>SUM(C17:C24)</f>
        <v>1671000</v>
      </c>
    </row>
    <row r="17" spans="1:4" x14ac:dyDescent="0.2">
      <c r="B17" s="3" t="s">
        <v>35</v>
      </c>
      <c r="C17" s="4">
        <v>1000</v>
      </c>
    </row>
    <row r="18" spans="1:4" x14ac:dyDescent="0.2">
      <c r="B18" s="3" t="s">
        <v>37</v>
      </c>
      <c r="C18" s="4">
        <v>10000</v>
      </c>
    </row>
    <row r="19" spans="1:4" x14ac:dyDescent="0.2">
      <c r="B19" s="3" t="s">
        <v>54</v>
      </c>
      <c r="C19" s="4">
        <v>5000</v>
      </c>
    </row>
    <row r="20" spans="1:4" x14ac:dyDescent="0.2">
      <c r="B20" s="3" t="s">
        <v>38</v>
      </c>
      <c r="C20" s="4">
        <f>50000*1.25+70000*1.25</f>
        <v>150000</v>
      </c>
    </row>
    <row r="21" spans="1:4" x14ac:dyDescent="0.2">
      <c r="B21" s="3" t="s">
        <v>39</v>
      </c>
      <c r="C21" s="4">
        <v>40000</v>
      </c>
    </row>
    <row r="22" spans="1:4" x14ac:dyDescent="0.2">
      <c r="B22" s="3" t="s">
        <v>40</v>
      </c>
      <c r="C22" s="4">
        <v>25000</v>
      </c>
    </row>
    <row r="23" spans="1:4" x14ac:dyDescent="0.2">
      <c r="B23" s="3" t="s">
        <v>42</v>
      </c>
      <c r="C23" s="4">
        <v>40000</v>
      </c>
      <c r="D23" s="3">
        <f>30000*1.25</f>
        <v>37500</v>
      </c>
    </row>
    <row r="24" spans="1:4" x14ac:dyDescent="0.2">
      <c r="B24" s="3" t="s">
        <v>41</v>
      </c>
      <c r="C24" s="4">
        <v>1400000</v>
      </c>
    </row>
    <row r="25" spans="1:4" x14ac:dyDescent="0.2">
      <c r="C25" s="4"/>
    </row>
    <row r="26" spans="1:4" x14ac:dyDescent="0.2">
      <c r="C26" s="4"/>
    </row>
    <row r="27" spans="1:4" x14ac:dyDescent="0.2">
      <c r="A27" s="6">
        <v>4253</v>
      </c>
      <c r="B27" s="6" t="s">
        <v>32</v>
      </c>
      <c r="C27" s="5">
        <v>250000</v>
      </c>
      <c r="D27" s="4">
        <f>SUM(C28:C32)</f>
        <v>250000</v>
      </c>
    </row>
    <row r="28" spans="1:4" x14ac:dyDescent="0.2">
      <c r="B28" s="3" t="s">
        <v>43</v>
      </c>
      <c r="C28" s="4">
        <v>50000</v>
      </c>
    </row>
    <row r="29" spans="1:4" x14ac:dyDescent="0.2">
      <c r="B29" s="3" t="s">
        <v>151</v>
      </c>
      <c r="C29" s="4">
        <v>20000</v>
      </c>
    </row>
    <row r="30" spans="1:4" x14ac:dyDescent="0.2">
      <c r="B30" s="3" t="s">
        <v>44</v>
      </c>
      <c r="C30" s="4">
        <f>40000+60000</f>
        <v>100000</v>
      </c>
    </row>
    <row r="31" spans="1:4" x14ac:dyDescent="0.2">
      <c r="B31" s="3" t="s">
        <v>45</v>
      </c>
      <c r="C31" s="4">
        <v>20000</v>
      </c>
    </row>
    <row r="32" spans="1:4" ht="12" customHeight="1" x14ac:dyDescent="0.2">
      <c r="B32" s="3" t="s">
        <v>84</v>
      </c>
      <c r="C32" s="4">
        <f>30000+30000</f>
        <v>60000</v>
      </c>
    </row>
    <row r="33" spans="1:4" x14ac:dyDescent="0.2">
      <c r="C33" s="4"/>
    </row>
    <row r="34" spans="1:4" x14ac:dyDescent="0.2">
      <c r="C34" s="4"/>
    </row>
    <row r="35" spans="1:4" x14ac:dyDescent="0.2">
      <c r="A35" s="6">
        <v>4254</v>
      </c>
      <c r="B35" s="6" t="s">
        <v>46</v>
      </c>
      <c r="C35" s="5">
        <v>400000</v>
      </c>
      <c r="D35" s="4">
        <f>SUM(C36:C42)</f>
        <v>398000</v>
      </c>
    </row>
    <row r="36" spans="1:4" x14ac:dyDescent="0.2">
      <c r="B36" s="3" t="s">
        <v>47</v>
      </c>
      <c r="C36" s="4">
        <v>3000</v>
      </c>
      <c r="D36" s="4"/>
    </row>
    <row r="37" spans="1:4" x14ac:dyDescent="0.2">
      <c r="B37" s="3" t="s">
        <v>48</v>
      </c>
      <c r="C37" s="4">
        <v>15000</v>
      </c>
      <c r="D37" s="4"/>
    </row>
    <row r="38" spans="1:4" x14ac:dyDescent="0.2">
      <c r="B38" s="3" t="s">
        <v>49</v>
      </c>
      <c r="C38" s="4">
        <v>40000</v>
      </c>
      <c r="D38" s="4">
        <f>30000*1.25</f>
        <v>37500</v>
      </c>
    </row>
    <row r="39" spans="1:4" x14ac:dyDescent="0.2">
      <c r="B39" s="3" t="s">
        <v>53</v>
      </c>
      <c r="C39" s="4">
        <f>40000*1.25</f>
        <v>50000</v>
      </c>
      <c r="D39" s="4"/>
    </row>
    <row r="40" spans="1:4" x14ac:dyDescent="0.2">
      <c r="B40" s="3" t="s">
        <v>50</v>
      </c>
      <c r="C40" s="4">
        <v>140000</v>
      </c>
      <c r="D40" s="4">
        <f>75000*1.25+30000*1.25</f>
        <v>131250</v>
      </c>
    </row>
    <row r="41" spans="1:4" x14ac:dyDescent="0.2">
      <c r="B41" s="3" t="s">
        <v>51</v>
      </c>
      <c r="C41" s="4">
        <v>140000</v>
      </c>
      <c r="D41" s="4">
        <f>109000*1.25</f>
        <v>136250</v>
      </c>
    </row>
    <row r="42" spans="1:4" x14ac:dyDescent="0.2">
      <c r="B42" s="3" t="s">
        <v>52</v>
      </c>
      <c r="C42" s="4">
        <v>10000</v>
      </c>
      <c r="D42" s="4"/>
    </row>
    <row r="43" spans="1:4" x14ac:dyDescent="0.2">
      <c r="C43" s="4"/>
      <c r="D43" s="4"/>
    </row>
    <row r="44" spans="1:4" x14ac:dyDescent="0.2">
      <c r="A44" s="6">
        <v>4255</v>
      </c>
      <c r="B44" s="6" t="s">
        <v>55</v>
      </c>
      <c r="C44" s="5">
        <v>25000</v>
      </c>
      <c r="D44" s="4"/>
    </row>
    <row r="45" spans="1:4" x14ac:dyDescent="0.2">
      <c r="B45" s="3" t="s">
        <v>56</v>
      </c>
      <c r="C45" s="4">
        <v>25000</v>
      </c>
      <c r="D45" s="4">
        <f>4*6000</f>
        <v>24000</v>
      </c>
    </row>
    <row r="46" spans="1:4" x14ac:dyDescent="0.2">
      <c r="B46" s="3" t="s">
        <v>57</v>
      </c>
      <c r="C46" s="4">
        <v>0</v>
      </c>
      <c r="D46" s="4"/>
    </row>
    <row r="47" spans="1:4" x14ac:dyDescent="0.2">
      <c r="C47" s="4"/>
      <c r="D47" s="4"/>
    </row>
    <row r="48" spans="1:4" x14ac:dyDescent="0.2">
      <c r="A48" s="6">
        <v>4257</v>
      </c>
      <c r="B48" s="6" t="s">
        <v>58</v>
      </c>
      <c r="C48" s="5">
        <v>650000</v>
      </c>
      <c r="D48" s="4">
        <f>SUM(C49:C56)</f>
        <v>641750</v>
      </c>
    </row>
    <row r="49" spans="1:4" x14ac:dyDescent="0.2">
      <c r="B49" s="3" t="s">
        <v>59</v>
      </c>
      <c r="C49" s="4">
        <v>60000</v>
      </c>
      <c r="D49" s="4"/>
    </row>
    <row r="50" spans="1:4" x14ac:dyDescent="0.2">
      <c r="B50" s="3" t="s">
        <v>65</v>
      </c>
      <c r="C50" s="4">
        <f>100000*1.25+195000*1.25</f>
        <v>368750</v>
      </c>
      <c r="D50" s="4"/>
    </row>
    <row r="51" spans="1:4" x14ac:dyDescent="0.2">
      <c r="B51" s="3" t="s">
        <v>60</v>
      </c>
      <c r="C51" s="4">
        <v>110000</v>
      </c>
      <c r="D51" s="4">
        <f>90000*1.25</f>
        <v>112500</v>
      </c>
    </row>
    <row r="52" spans="1:4" x14ac:dyDescent="0.2">
      <c r="B52" s="3" t="s">
        <v>61</v>
      </c>
      <c r="C52" s="4">
        <v>10000</v>
      </c>
      <c r="D52" s="4"/>
    </row>
    <row r="53" spans="1:4" x14ac:dyDescent="0.2">
      <c r="B53" s="3" t="s">
        <v>62</v>
      </c>
      <c r="C53" s="4">
        <v>10000</v>
      </c>
      <c r="D53" s="4"/>
    </row>
    <row r="54" spans="1:4" x14ac:dyDescent="0.2">
      <c r="B54" s="3" t="s">
        <v>63</v>
      </c>
      <c r="C54" s="4">
        <v>20000</v>
      </c>
      <c r="D54" s="4"/>
    </row>
    <row r="55" spans="1:4" x14ac:dyDescent="0.2">
      <c r="B55" s="3" t="s">
        <v>133</v>
      </c>
      <c r="C55" s="4">
        <v>60000</v>
      </c>
      <c r="D55" s="4"/>
    </row>
    <row r="56" spans="1:4" x14ac:dyDescent="0.2">
      <c r="B56" s="3" t="s">
        <v>64</v>
      </c>
      <c r="C56" s="4">
        <v>3000</v>
      </c>
      <c r="D56" s="4"/>
    </row>
    <row r="57" spans="1:4" x14ac:dyDescent="0.2">
      <c r="C57" s="4"/>
      <c r="D57" s="4"/>
    </row>
    <row r="58" spans="1:4" x14ac:dyDescent="0.2">
      <c r="A58" s="6">
        <v>4261</v>
      </c>
      <c r="B58" s="6" t="s">
        <v>79</v>
      </c>
      <c r="C58" s="5">
        <v>270000</v>
      </c>
      <c r="D58" s="4"/>
    </row>
    <row r="59" spans="1:4" x14ac:dyDescent="0.2">
      <c r="B59" s="3" t="s">
        <v>66</v>
      </c>
      <c r="C59" s="4">
        <v>20000</v>
      </c>
      <c r="D59" s="4">
        <f>SUM(C59:C66)</f>
        <v>262000</v>
      </c>
    </row>
    <row r="60" spans="1:4" x14ac:dyDescent="0.2">
      <c r="B60" s="3" t="s">
        <v>67</v>
      </c>
      <c r="C60" s="4">
        <v>5000</v>
      </c>
      <c r="D60" s="4"/>
    </row>
    <row r="61" spans="1:4" x14ac:dyDescent="0.2">
      <c r="B61" s="3" t="s">
        <v>68</v>
      </c>
      <c r="C61" s="4">
        <v>2000</v>
      </c>
      <c r="D61" s="4"/>
    </row>
    <row r="62" spans="1:4" x14ac:dyDescent="0.2">
      <c r="B62" s="3" t="s">
        <v>149</v>
      </c>
      <c r="C62" s="4">
        <v>20000</v>
      </c>
      <c r="D62" s="4"/>
    </row>
    <row r="63" spans="1:4" x14ac:dyDescent="0.2">
      <c r="B63" s="3" t="s">
        <v>69</v>
      </c>
      <c r="C63" s="4">
        <v>20000</v>
      </c>
      <c r="D63" s="4"/>
    </row>
    <row r="64" spans="1:4" x14ac:dyDescent="0.2">
      <c r="B64" s="3" t="s">
        <v>70</v>
      </c>
      <c r="C64" s="4">
        <f>120000*1.25</f>
        <v>150000</v>
      </c>
      <c r="D64" s="4"/>
    </row>
    <row r="65" spans="1:4" x14ac:dyDescent="0.2">
      <c r="B65" s="3" t="s">
        <v>71</v>
      </c>
      <c r="C65" s="4">
        <v>40000</v>
      </c>
      <c r="D65" s="4"/>
    </row>
    <row r="66" spans="1:4" x14ac:dyDescent="0.2">
      <c r="B66" s="3" t="s">
        <v>72</v>
      </c>
      <c r="C66" s="4">
        <v>5000</v>
      </c>
    </row>
    <row r="69" spans="1:4" x14ac:dyDescent="0.2">
      <c r="A69" s="6">
        <v>4292</v>
      </c>
      <c r="B69" s="6" t="s">
        <v>80</v>
      </c>
      <c r="C69" s="5">
        <v>260000</v>
      </c>
      <c r="D69" s="4">
        <f>SUM(C70:C72)</f>
        <v>259000</v>
      </c>
    </row>
    <row r="70" spans="1:4" x14ac:dyDescent="0.2">
      <c r="B70" s="3" t="s">
        <v>81</v>
      </c>
      <c r="C70" s="4">
        <v>3000</v>
      </c>
    </row>
    <row r="71" spans="1:4" x14ac:dyDescent="0.2">
      <c r="B71" s="3" t="s">
        <v>82</v>
      </c>
      <c r="C71" s="4">
        <v>20000</v>
      </c>
    </row>
    <row r="72" spans="1:4" x14ac:dyDescent="0.2">
      <c r="B72" s="3" t="s">
        <v>83</v>
      </c>
      <c r="C72" s="4">
        <v>236000</v>
      </c>
    </row>
    <row r="73" spans="1:4" x14ac:dyDescent="0.2">
      <c r="C73" s="4"/>
    </row>
    <row r="74" spans="1:4" x14ac:dyDescent="0.2">
      <c r="C74" s="4"/>
    </row>
    <row r="75" spans="1:4" x14ac:dyDescent="0.2">
      <c r="A75" s="6">
        <v>4311</v>
      </c>
      <c r="B75" s="6" t="s">
        <v>120</v>
      </c>
      <c r="C75" s="5">
        <f>+C79+C81</f>
        <v>56469125.101000004</v>
      </c>
    </row>
    <row r="76" spans="1:4" x14ac:dyDescent="0.2">
      <c r="A76" s="20" t="s">
        <v>143</v>
      </c>
      <c r="B76" s="3" t="s">
        <v>147</v>
      </c>
      <c r="C76" s="4">
        <f>1397776811.25-343000+400000*7.7</f>
        <v>1400513811.25</v>
      </c>
    </row>
    <row r="77" spans="1:4" x14ac:dyDescent="0.2">
      <c r="A77" s="20" t="s">
        <v>144</v>
      </c>
      <c r="B77" s="3" t="s">
        <v>147</v>
      </c>
      <c r="C77" s="4">
        <v>3458510</v>
      </c>
    </row>
    <row r="78" spans="1:4" x14ac:dyDescent="0.2">
      <c r="C78" s="4">
        <f>+C77+C76</f>
        <v>1403972321.25</v>
      </c>
    </row>
    <row r="79" spans="1:4" x14ac:dyDescent="0.2">
      <c r="C79" s="4">
        <f>+C78/25</f>
        <v>56158892.850000001</v>
      </c>
    </row>
    <row r="80" spans="1:4" x14ac:dyDescent="0.2">
      <c r="A80" s="20" t="s">
        <v>145</v>
      </c>
      <c r="B80" s="3" t="s">
        <v>146</v>
      </c>
      <c r="C80" s="4">
        <f>5804645.02+400000</f>
        <v>6204645.0199999996</v>
      </c>
    </row>
    <row r="81" spans="3:3" x14ac:dyDescent="0.2">
      <c r="C81" s="3">
        <f>+C80/20</f>
        <v>310232.25099999999</v>
      </c>
    </row>
    <row r="82" spans="3:3" x14ac:dyDescent="0.2">
      <c r="C82" s="4">
        <f>+C81+C79</f>
        <v>56469125.101000004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6"/>
  <sheetViews>
    <sheetView workbookViewId="0">
      <selection activeCell="A4" sqref="A4:E8"/>
    </sheetView>
  </sheetViews>
  <sheetFormatPr defaultRowHeight="12.75" x14ac:dyDescent="0.2"/>
  <cols>
    <col min="1" max="1" width="2.5703125" style="23" bestFit="1" customWidth="1"/>
    <col min="2" max="2" width="31.140625" style="23" bestFit="1" customWidth="1"/>
    <col min="3" max="4" width="10.7109375" style="23" bestFit="1" customWidth="1"/>
    <col min="5" max="5" width="10.140625" style="23" bestFit="1" customWidth="1"/>
    <col min="6" max="16384" width="9.140625" style="23"/>
  </cols>
  <sheetData>
    <row r="4" spans="1:5" x14ac:dyDescent="0.2">
      <c r="A4" s="21"/>
      <c r="B4" s="21"/>
      <c r="C4" s="22" t="s">
        <v>139</v>
      </c>
      <c r="D4" s="22" t="s">
        <v>140</v>
      </c>
      <c r="E4" s="22" t="s">
        <v>141</v>
      </c>
    </row>
    <row r="5" spans="1:5" x14ac:dyDescent="0.2">
      <c r="A5" s="24">
        <v>1</v>
      </c>
      <c r="B5" s="24" t="s">
        <v>134</v>
      </c>
      <c r="C5" s="25">
        <v>76385365.849999994</v>
      </c>
      <c r="D5" s="25">
        <v>68381176.469999999</v>
      </c>
      <c r="E5" s="25">
        <v>23571428.579999998</v>
      </c>
    </row>
    <row r="6" spans="1:5" x14ac:dyDescent="0.2">
      <c r="A6" s="24">
        <f>+A5+1</f>
        <v>2</v>
      </c>
      <c r="B6" s="24" t="s">
        <v>135</v>
      </c>
      <c r="C6" s="25">
        <v>0</v>
      </c>
      <c r="D6" s="25">
        <v>2800000</v>
      </c>
      <c r="E6" s="25">
        <v>0</v>
      </c>
    </row>
    <row r="7" spans="1:5" x14ac:dyDescent="0.2">
      <c r="A7" s="26">
        <f t="shared" ref="A7:A10" si="0">+A6+1</f>
        <v>3</v>
      </c>
      <c r="B7" s="26" t="s">
        <v>136</v>
      </c>
      <c r="C7" s="27">
        <v>331707.32</v>
      </c>
      <c r="D7" s="27">
        <v>14117647.060000001</v>
      </c>
      <c r="E7" s="27">
        <v>23571428.579999998</v>
      </c>
    </row>
    <row r="8" spans="1:5" x14ac:dyDescent="0.2">
      <c r="A8" s="28">
        <f t="shared" si="0"/>
        <v>4</v>
      </c>
      <c r="B8" s="28" t="s">
        <v>150</v>
      </c>
      <c r="C8" s="29">
        <f>+C5+C6-C7</f>
        <v>76053658.530000001</v>
      </c>
      <c r="D8" s="29">
        <f>+D5+D6-D7</f>
        <v>57063529.409999996</v>
      </c>
      <c r="E8" s="29">
        <f>+E5+E6-E7</f>
        <v>0</v>
      </c>
    </row>
    <row r="9" spans="1:5" x14ac:dyDescent="0.2">
      <c r="A9" s="30">
        <f t="shared" si="0"/>
        <v>5</v>
      </c>
      <c r="B9" s="30" t="s">
        <v>137</v>
      </c>
      <c r="C9" s="31">
        <f>+C5-C8</f>
        <v>331707.31999999285</v>
      </c>
      <c r="D9" s="31">
        <f>+D5-D8</f>
        <v>11317647.060000002</v>
      </c>
      <c r="E9" s="31">
        <f>+E7</f>
        <v>23571428.579999998</v>
      </c>
    </row>
    <row r="10" spans="1:5" x14ac:dyDescent="0.2">
      <c r="A10" s="30">
        <f t="shared" si="0"/>
        <v>6</v>
      </c>
      <c r="B10" s="30" t="s">
        <v>138</v>
      </c>
      <c r="C10" s="32">
        <f>(1-C8/C5)*100</f>
        <v>0.43425506483973919</v>
      </c>
      <c r="D10" s="32">
        <f>+(1-D8/D5)*100</f>
        <v>16.550822381602703</v>
      </c>
      <c r="E10" s="31">
        <f>+E7/E5*100</f>
        <v>100</v>
      </c>
    </row>
    <row r="11" spans="1:5" x14ac:dyDescent="0.2">
      <c r="C11" s="33"/>
      <c r="D11" s="33"/>
      <c r="E11" s="33"/>
    </row>
    <row r="12" spans="1:5" x14ac:dyDescent="0.2">
      <c r="C12" s="33"/>
      <c r="D12" s="33"/>
      <c r="E12" s="33"/>
    </row>
    <row r="13" spans="1:5" x14ac:dyDescent="0.2">
      <c r="C13" s="33"/>
      <c r="D13" s="33"/>
      <c r="E13" s="33"/>
    </row>
    <row r="14" spans="1:5" x14ac:dyDescent="0.2">
      <c r="C14" s="33"/>
      <c r="D14" s="34"/>
      <c r="E14" s="33"/>
    </row>
    <row r="15" spans="1:5" x14ac:dyDescent="0.2">
      <c r="C15" s="33"/>
      <c r="D15" s="33"/>
      <c r="E15" s="33"/>
    </row>
    <row r="16" spans="1:5" x14ac:dyDescent="0.2">
      <c r="C16" s="33"/>
      <c r="D16" s="33"/>
      <c r="E16" s="3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6"/>
  <sheetViews>
    <sheetView tabSelected="1" zoomScaleNormal="100" workbookViewId="0">
      <selection activeCell="C41" sqref="C41"/>
    </sheetView>
  </sheetViews>
  <sheetFormatPr defaultRowHeight="12.75" x14ac:dyDescent="0.2"/>
  <cols>
    <col min="1" max="1" width="7.85546875" style="36" customWidth="1"/>
    <col min="2" max="2" width="56" style="36" customWidth="1"/>
    <col min="3" max="3" width="19" style="36" customWidth="1"/>
    <col min="4" max="5" width="9.140625" style="36"/>
    <col min="6" max="6" width="10.85546875" style="36" bestFit="1" customWidth="1"/>
    <col min="7" max="10" width="9.140625" style="36"/>
    <col min="11" max="11" width="10.85546875" style="36" bestFit="1" customWidth="1"/>
    <col min="12" max="12" width="12.42578125" style="36" customWidth="1"/>
    <col min="13" max="13" width="12.42578125" style="36" bestFit="1" customWidth="1"/>
    <col min="14" max="14" width="9.140625" style="36"/>
    <col min="15" max="15" width="12.42578125" style="36" bestFit="1" customWidth="1"/>
    <col min="16" max="16" width="12.5703125" style="36" bestFit="1" customWidth="1"/>
    <col min="17" max="17" width="12.42578125" style="36" bestFit="1" customWidth="1"/>
    <col min="18" max="246" width="9.140625" style="36"/>
    <col min="247" max="247" width="7.5703125" style="36" customWidth="1"/>
    <col min="248" max="248" width="56.7109375" style="36" bestFit="1" customWidth="1"/>
    <col min="249" max="249" width="11.42578125" style="36" customWidth="1"/>
    <col min="250" max="250" width="11.28515625" style="36" bestFit="1" customWidth="1"/>
    <col min="251" max="502" width="9.140625" style="36"/>
    <col min="503" max="503" width="7.5703125" style="36" customWidth="1"/>
    <col min="504" max="504" width="56.7109375" style="36" bestFit="1" customWidth="1"/>
    <col min="505" max="505" width="11.42578125" style="36" customWidth="1"/>
    <col min="506" max="506" width="11.28515625" style="36" bestFit="1" customWidth="1"/>
    <col min="507" max="758" width="9.140625" style="36"/>
    <col min="759" max="759" width="7.5703125" style="36" customWidth="1"/>
    <col min="760" max="760" width="56.7109375" style="36" bestFit="1" customWidth="1"/>
    <col min="761" max="761" width="11.42578125" style="36" customWidth="1"/>
    <col min="762" max="762" width="11.28515625" style="36" bestFit="1" customWidth="1"/>
    <col min="763" max="1014" width="9.140625" style="36"/>
    <col min="1015" max="1015" width="7.5703125" style="36" customWidth="1"/>
    <col min="1016" max="1016" width="56.7109375" style="36" bestFit="1" customWidth="1"/>
    <col min="1017" max="1017" width="11.42578125" style="36" customWidth="1"/>
    <col min="1018" max="1018" width="11.28515625" style="36" bestFit="1" customWidth="1"/>
    <col min="1019" max="1270" width="9.140625" style="36"/>
    <col min="1271" max="1271" width="7.5703125" style="36" customWidth="1"/>
    <col min="1272" max="1272" width="56.7109375" style="36" bestFit="1" customWidth="1"/>
    <col min="1273" max="1273" width="11.42578125" style="36" customWidth="1"/>
    <col min="1274" max="1274" width="11.28515625" style="36" bestFit="1" customWidth="1"/>
    <col min="1275" max="1526" width="9.140625" style="36"/>
    <col min="1527" max="1527" width="7.5703125" style="36" customWidth="1"/>
    <col min="1528" max="1528" width="56.7109375" style="36" bestFit="1" customWidth="1"/>
    <col min="1529" max="1529" width="11.42578125" style="36" customWidth="1"/>
    <col min="1530" max="1530" width="11.28515625" style="36" bestFit="1" customWidth="1"/>
    <col min="1531" max="1782" width="9.140625" style="36"/>
    <col min="1783" max="1783" width="7.5703125" style="36" customWidth="1"/>
    <col min="1784" max="1784" width="56.7109375" style="36" bestFit="1" customWidth="1"/>
    <col min="1785" max="1785" width="11.42578125" style="36" customWidth="1"/>
    <col min="1786" max="1786" width="11.28515625" style="36" bestFit="1" customWidth="1"/>
    <col min="1787" max="2038" width="9.140625" style="36"/>
    <col min="2039" max="2039" width="7.5703125" style="36" customWidth="1"/>
    <col min="2040" max="2040" width="56.7109375" style="36" bestFit="1" customWidth="1"/>
    <col min="2041" max="2041" width="11.42578125" style="36" customWidth="1"/>
    <col min="2042" max="2042" width="11.28515625" style="36" bestFit="1" customWidth="1"/>
    <col min="2043" max="2294" width="9.140625" style="36"/>
    <col min="2295" max="2295" width="7.5703125" style="36" customWidth="1"/>
    <col min="2296" max="2296" width="56.7109375" style="36" bestFit="1" customWidth="1"/>
    <col min="2297" max="2297" width="11.42578125" style="36" customWidth="1"/>
    <col min="2298" max="2298" width="11.28515625" style="36" bestFit="1" customWidth="1"/>
    <col min="2299" max="2550" width="9.140625" style="36"/>
    <col min="2551" max="2551" width="7.5703125" style="36" customWidth="1"/>
    <col min="2552" max="2552" width="56.7109375" style="36" bestFit="1" customWidth="1"/>
    <col min="2553" max="2553" width="11.42578125" style="36" customWidth="1"/>
    <col min="2554" max="2554" width="11.28515625" style="36" bestFit="1" customWidth="1"/>
    <col min="2555" max="2806" width="9.140625" style="36"/>
    <col min="2807" max="2807" width="7.5703125" style="36" customWidth="1"/>
    <col min="2808" max="2808" width="56.7109375" style="36" bestFit="1" customWidth="1"/>
    <col min="2809" max="2809" width="11.42578125" style="36" customWidth="1"/>
    <col min="2810" max="2810" width="11.28515625" style="36" bestFit="1" customWidth="1"/>
    <col min="2811" max="3062" width="9.140625" style="36"/>
    <col min="3063" max="3063" width="7.5703125" style="36" customWidth="1"/>
    <col min="3064" max="3064" width="56.7109375" style="36" bestFit="1" customWidth="1"/>
    <col min="3065" max="3065" width="11.42578125" style="36" customWidth="1"/>
    <col min="3066" max="3066" width="11.28515625" style="36" bestFit="1" customWidth="1"/>
    <col min="3067" max="3318" width="9.140625" style="36"/>
    <col min="3319" max="3319" width="7.5703125" style="36" customWidth="1"/>
    <col min="3320" max="3320" width="56.7109375" style="36" bestFit="1" customWidth="1"/>
    <col min="3321" max="3321" width="11.42578125" style="36" customWidth="1"/>
    <col min="3322" max="3322" width="11.28515625" style="36" bestFit="1" customWidth="1"/>
    <col min="3323" max="3574" width="9.140625" style="36"/>
    <col min="3575" max="3575" width="7.5703125" style="36" customWidth="1"/>
    <col min="3576" max="3576" width="56.7109375" style="36" bestFit="1" customWidth="1"/>
    <col min="3577" max="3577" width="11.42578125" style="36" customWidth="1"/>
    <col min="3578" max="3578" width="11.28515625" style="36" bestFit="1" customWidth="1"/>
    <col min="3579" max="3830" width="9.140625" style="36"/>
    <col min="3831" max="3831" width="7.5703125" style="36" customWidth="1"/>
    <col min="3832" max="3832" width="56.7109375" style="36" bestFit="1" customWidth="1"/>
    <col min="3833" max="3833" width="11.42578125" style="36" customWidth="1"/>
    <col min="3834" max="3834" width="11.28515625" style="36" bestFit="1" customWidth="1"/>
    <col min="3835" max="4086" width="9.140625" style="36"/>
    <col min="4087" max="4087" width="7.5703125" style="36" customWidth="1"/>
    <col min="4088" max="4088" width="56.7109375" style="36" bestFit="1" customWidth="1"/>
    <col min="4089" max="4089" width="11.42578125" style="36" customWidth="1"/>
    <col min="4090" max="4090" width="11.28515625" style="36" bestFit="1" customWidth="1"/>
    <col min="4091" max="4342" width="9.140625" style="36"/>
    <col min="4343" max="4343" width="7.5703125" style="36" customWidth="1"/>
    <col min="4344" max="4344" width="56.7109375" style="36" bestFit="1" customWidth="1"/>
    <col min="4345" max="4345" width="11.42578125" style="36" customWidth="1"/>
    <col min="4346" max="4346" width="11.28515625" style="36" bestFit="1" customWidth="1"/>
    <col min="4347" max="4598" width="9.140625" style="36"/>
    <col min="4599" max="4599" width="7.5703125" style="36" customWidth="1"/>
    <col min="4600" max="4600" width="56.7109375" style="36" bestFit="1" customWidth="1"/>
    <col min="4601" max="4601" width="11.42578125" style="36" customWidth="1"/>
    <col min="4602" max="4602" width="11.28515625" style="36" bestFit="1" customWidth="1"/>
    <col min="4603" max="4854" width="9.140625" style="36"/>
    <col min="4855" max="4855" width="7.5703125" style="36" customWidth="1"/>
    <col min="4856" max="4856" width="56.7109375" style="36" bestFit="1" customWidth="1"/>
    <col min="4857" max="4857" width="11.42578125" style="36" customWidth="1"/>
    <col min="4858" max="4858" width="11.28515625" style="36" bestFit="1" customWidth="1"/>
    <col min="4859" max="5110" width="9.140625" style="36"/>
    <col min="5111" max="5111" width="7.5703125" style="36" customWidth="1"/>
    <col min="5112" max="5112" width="56.7109375" style="36" bestFit="1" customWidth="1"/>
    <col min="5113" max="5113" width="11.42578125" style="36" customWidth="1"/>
    <col min="5114" max="5114" width="11.28515625" style="36" bestFit="1" customWidth="1"/>
    <col min="5115" max="5366" width="9.140625" style="36"/>
    <col min="5367" max="5367" width="7.5703125" style="36" customWidth="1"/>
    <col min="5368" max="5368" width="56.7109375" style="36" bestFit="1" customWidth="1"/>
    <col min="5369" max="5369" width="11.42578125" style="36" customWidth="1"/>
    <col min="5370" max="5370" width="11.28515625" style="36" bestFit="1" customWidth="1"/>
    <col min="5371" max="5622" width="9.140625" style="36"/>
    <col min="5623" max="5623" width="7.5703125" style="36" customWidth="1"/>
    <col min="5624" max="5624" width="56.7109375" style="36" bestFit="1" customWidth="1"/>
    <col min="5625" max="5625" width="11.42578125" style="36" customWidth="1"/>
    <col min="5626" max="5626" width="11.28515625" style="36" bestFit="1" customWidth="1"/>
    <col min="5627" max="5878" width="9.140625" style="36"/>
    <col min="5879" max="5879" width="7.5703125" style="36" customWidth="1"/>
    <col min="5880" max="5880" width="56.7109375" style="36" bestFit="1" customWidth="1"/>
    <col min="5881" max="5881" width="11.42578125" style="36" customWidth="1"/>
    <col min="5882" max="5882" width="11.28515625" style="36" bestFit="1" customWidth="1"/>
    <col min="5883" max="6134" width="9.140625" style="36"/>
    <col min="6135" max="6135" width="7.5703125" style="36" customWidth="1"/>
    <col min="6136" max="6136" width="56.7109375" style="36" bestFit="1" customWidth="1"/>
    <col min="6137" max="6137" width="11.42578125" style="36" customWidth="1"/>
    <col min="6138" max="6138" width="11.28515625" style="36" bestFit="1" customWidth="1"/>
    <col min="6139" max="6390" width="9.140625" style="36"/>
    <col min="6391" max="6391" width="7.5703125" style="36" customWidth="1"/>
    <col min="6392" max="6392" width="56.7109375" style="36" bestFit="1" customWidth="1"/>
    <col min="6393" max="6393" width="11.42578125" style="36" customWidth="1"/>
    <col min="6394" max="6394" width="11.28515625" style="36" bestFit="1" customWidth="1"/>
    <col min="6395" max="6646" width="9.140625" style="36"/>
    <col min="6647" max="6647" width="7.5703125" style="36" customWidth="1"/>
    <col min="6648" max="6648" width="56.7109375" style="36" bestFit="1" customWidth="1"/>
    <col min="6649" max="6649" width="11.42578125" style="36" customWidth="1"/>
    <col min="6650" max="6650" width="11.28515625" style="36" bestFit="1" customWidth="1"/>
    <col min="6651" max="6902" width="9.140625" style="36"/>
    <col min="6903" max="6903" width="7.5703125" style="36" customWidth="1"/>
    <col min="6904" max="6904" width="56.7109375" style="36" bestFit="1" customWidth="1"/>
    <col min="6905" max="6905" width="11.42578125" style="36" customWidth="1"/>
    <col min="6906" max="6906" width="11.28515625" style="36" bestFit="1" customWidth="1"/>
    <col min="6907" max="7158" width="9.140625" style="36"/>
    <col min="7159" max="7159" width="7.5703125" style="36" customWidth="1"/>
    <col min="7160" max="7160" width="56.7109375" style="36" bestFit="1" customWidth="1"/>
    <col min="7161" max="7161" width="11.42578125" style="36" customWidth="1"/>
    <col min="7162" max="7162" width="11.28515625" style="36" bestFit="1" customWidth="1"/>
    <col min="7163" max="7414" width="9.140625" style="36"/>
    <col min="7415" max="7415" width="7.5703125" style="36" customWidth="1"/>
    <col min="7416" max="7416" width="56.7109375" style="36" bestFit="1" customWidth="1"/>
    <col min="7417" max="7417" width="11.42578125" style="36" customWidth="1"/>
    <col min="7418" max="7418" width="11.28515625" style="36" bestFit="1" customWidth="1"/>
    <col min="7419" max="7670" width="9.140625" style="36"/>
    <col min="7671" max="7671" width="7.5703125" style="36" customWidth="1"/>
    <col min="7672" max="7672" width="56.7109375" style="36" bestFit="1" customWidth="1"/>
    <col min="7673" max="7673" width="11.42578125" style="36" customWidth="1"/>
    <col min="7674" max="7674" width="11.28515625" style="36" bestFit="1" customWidth="1"/>
    <col min="7675" max="7926" width="9.140625" style="36"/>
    <col min="7927" max="7927" width="7.5703125" style="36" customWidth="1"/>
    <col min="7928" max="7928" width="56.7109375" style="36" bestFit="1" customWidth="1"/>
    <col min="7929" max="7929" width="11.42578125" style="36" customWidth="1"/>
    <col min="7930" max="7930" width="11.28515625" style="36" bestFit="1" customWidth="1"/>
    <col min="7931" max="8182" width="9.140625" style="36"/>
    <col min="8183" max="8183" width="7.5703125" style="36" customWidth="1"/>
    <col min="8184" max="8184" width="56.7109375" style="36" bestFit="1" customWidth="1"/>
    <col min="8185" max="8185" width="11.42578125" style="36" customWidth="1"/>
    <col min="8186" max="8186" width="11.28515625" style="36" bestFit="1" customWidth="1"/>
    <col min="8187" max="8438" width="9.140625" style="36"/>
    <col min="8439" max="8439" width="7.5703125" style="36" customWidth="1"/>
    <col min="8440" max="8440" width="56.7109375" style="36" bestFit="1" customWidth="1"/>
    <col min="8441" max="8441" width="11.42578125" style="36" customWidth="1"/>
    <col min="8442" max="8442" width="11.28515625" style="36" bestFit="1" customWidth="1"/>
    <col min="8443" max="8694" width="9.140625" style="36"/>
    <col min="8695" max="8695" width="7.5703125" style="36" customWidth="1"/>
    <col min="8696" max="8696" width="56.7109375" style="36" bestFit="1" customWidth="1"/>
    <col min="8697" max="8697" width="11.42578125" style="36" customWidth="1"/>
    <col min="8698" max="8698" width="11.28515625" style="36" bestFit="1" customWidth="1"/>
    <col min="8699" max="8950" width="9.140625" style="36"/>
    <col min="8951" max="8951" width="7.5703125" style="36" customWidth="1"/>
    <col min="8952" max="8952" width="56.7109375" style="36" bestFit="1" customWidth="1"/>
    <col min="8953" max="8953" width="11.42578125" style="36" customWidth="1"/>
    <col min="8954" max="8954" width="11.28515625" style="36" bestFit="1" customWidth="1"/>
    <col min="8955" max="9206" width="9.140625" style="36"/>
    <col min="9207" max="9207" width="7.5703125" style="36" customWidth="1"/>
    <col min="9208" max="9208" width="56.7109375" style="36" bestFit="1" customWidth="1"/>
    <col min="9209" max="9209" width="11.42578125" style="36" customWidth="1"/>
    <col min="9210" max="9210" width="11.28515625" style="36" bestFit="1" customWidth="1"/>
    <col min="9211" max="9462" width="9.140625" style="36"/>
    <col min="9463" max="9463" width="7.5703125" style="36" customWidth="1"/>
    <col min="9464" max="9464" width="56.7109375" style="36" bestFit="1" customWidth="1"/>
    <col min="9465" max="9465" width="11.42578125" style="36" customWidth="1"/>
    <col min="9466" max="9466" width="11.28515625" style="36" bestFit="1" customWidth="1"/>
    <col min="9467" max="9718" width="9.140625" style="36"/>
    <col min="9719" max="9719" width="7.5703125" style="36" customWidth="1"/>
    <col min="9720" max="9720" width="56.7109375" style="36" bestFit="1" customWidth="1"/>
    <col min="9721" max="9721" width="11.42578125" style="36" customWidth="1"/>
    <col min="9722" max="9722" width="11.28515625" style="36" bestFit="1" customWidth="1"/>
    <col min="9723" max="9974" width="9.140625" style="36"/>
    <col min="9975" max="9975" width="7.5703125" style="36" customWidth="1"/>
    <col min="9976" max="9976" width="56.7109375" style="36" bestFit="1" customWidth="1"/>
    <col min="9977" max="9977" width="11.42578125" style="36" customWidth="1"/>
    <col min="9978" max="9978" width="11.28515625" style="36" bestFit="1" customWidth="1"/>
    <col min="9979" max="10230" width="9.140625" style="36"/>
    <col min="10231" max="10231" width="7.5703125" style="36" customWidth="1"/>
    <col min="10232" max="10232" width="56.7109375" style="36" bestFit="1" customWidth="1"/>
    <col min="10233" max="10233" width="11.42578125" style="36" customWidth="1"/>
    <col min="10234" max="10234" width="11.28515625" style="36" bestFit="1" customWidth="1"/>
    <col min="10235" max="10486" width="9.140625" style="36"/>
    <col min="10487" max="10487" width="7.5703125" style="36" customWidth="1"/>
    <col min="10488" max="10488" width="56.7109375" style="36" bestFit="1" customWidth="1"/>
    <col min="10489" max="10489" width="11.42578125" style="36" customWidth="1"/>
    <col min="10490" max="10490" width="11.28515625" style="36" bestFit="1" customWidth="1"/>
    <col min="10491" max="10742" width="9.140625" style="36"/>
    <col min="10743" max="10743" width="7.5703125" style="36" customWidth="1"/>
    <col min="10744" max="10744" width="56.7109375" style="36" bestFit="1" customWidth="1"/>
    <col min="10745" max="10745" width="11.42578125" style="36" customWidth="1"/>
    <col min="10746" max="10746" width="11.28515625" style="36" bestFit="1" customWidth="1"/>
    <col min="10747" max="10998" width="9.140625" style="36"/>
    <col min="10999" max="10999" width="7.5703125" style="36" customWidth="1"/>
    <col min="11000" max="11000" width="56.7109375" style="36" bestFit="1" customWidth="1"/>
    <col min="11001" max="11001" width="11.42578125" style="36" customWidth="1"/>
    <col min="11002" max="11002" width="11.28515625" style="36" bestFit="1" customWidth="1"/>
    <col min="11003" max="11254" width="9.140625" style="36"/>
    <col min="11255" max="11255" width="7.5703125" style="36" customWidth="1"/>
    <col min="11256" max="11256" width="56.7109375" style="36" bestFit="1" customWidth="1"/>
    <col min="11257" max="11257" width="11.42578125" style="36" customWidth="1"/>
    <col min="11258" max="11258" width="11.28515625" style="36" bestFit="1" customWidth="1"/>
    <col min="11259" max="11510" width="9.140625" style="36"/>
    <col min="11511" max="11511" width="7.5703125" style="36" customWidth="1"/>
    <col min="11512" max="11512" width="56.7109375" style="36" bestFit="1" customWidth="1"/>
    <col min="11513" max="11513" width="11.42578125" style="36" customWidth="1"/>
    <col min="11514" max="11514" width="11.28515625" style="36" bestFit="1" customWidth="1"/>
    <col min="11515" max="11766" width="9.140625" style="36"/>
    <col min="11767" max="11767" width="7.5703125" style="36" customWidth="1"/>
    <col min="11768" max="11768" width="56.7109375" style="36" bestFit="1" customWidth="1"/>
    <col min="11769" max="11769" width="11.42578125" style="36" customWidth="1"/>
    <col min="11770" max="11770" width="11.28515625" style="36" bestFit="1" customWidth="1"/>
    <col min="11771" max="12022" width="9.140625" style="36"/>
    <col min="12023" max="12023" width="7.5703125" style="36" customWidth="1"/>
    <col min="12024" max="12024" width="56.7109375" style="36" bestFit="1" customWidth="1"/>
    <col min="12025" max="12025" width="11.42578125" style="36" customWidth="1"/>
    <col min="12026" max="12026" width="11.28515625" style="36" bestFit="1" customWidth="1"/>
    <col min="12027" max="12278" width="9.140625" style="36"/>
    <col min="12279" max="12279" width="7.5703125" style="36" customWidth="1"/>
    <col min="12280" max="12280" width="56.7109375" style="36" bestFit="1" customWidth="1"/>
    <col min="12281" max="12281" width="11.42578125" style="36" customWidth="1"/>
    <col min="12282" max="12282" width="11.28515625" style="36" bestFit="1" customWidth="1"/>
    <col min="12283" max="12534" width="9.140625" style="36"/>
    <col min="12535" max="12535" width="7.5703125" style="36" customWidth="1"/>
    <col min="12536" max="12536" width="56.7109375" style="36" bestFit="1" customWidth="1"/>
    <col min="12537" max="12537" width="11.42578125" style="36" customWidth="1"/>
    <col min="12538" max="12538" width="11.28515625" style="36" bestFit="1" customWidth="1"/>
    <col min="12539" max="12790" width="9.140625" style="36"/>
    <col min="12791" max="12791" width="7.5703125" style="36" customWidth="1"/>
    <col min="12792" max="12792" width="56.7109375" style="36" bestFit="1" customWidth="1"/>
    <col min="12793" max="12793" width="11.42578125" style="36" customWidth="1"/>
    <col min="12794" max="12794" width="11.28515625" style="36" bestFit="1" customWidth="1"/>
    <col min="12795" max="13046" width="9.140625" style="36"/>
    <col min="13047" max="13047" width="7.5703125" style="36" customWidth="1"/>
    <col min="13048" max="13048" width="56.7109375" style="36" bestFit="1" customWidth="1"/>
    <col min="13049" max="13049" width="11.42578125" style="36" customWidth="1"/>
    <col min="13050" max="13050" width="11.28515625" style="36" bestFit="1" customWidth="1"/>
    <col min="13051" max="13302" width="9.140625" style="36"/>
    <col min="13303" max="13303" width="7.5703125" style="36" customWidth="1"/>
    <col min="13304" max="13304" width="56.7109375" style="36" bestFit="1" customWidth="1"/>
    <col min="13305" max="13305" width="11.42578125" style="36" customWidth="1"/>
    <col min="13306" max="13306" width="11.28515625" style="36" bestFit="1" customWidth="1"/>
    <col min="13307" max="13558" width="9.140625" style="36"/>
    <col min="13559" max="13559" width="7.5703125" style="36" customWidth="1"/>
    <col min="13560" max="13560" width="56.7109375" style="36" bestFit="1" customWidth="1"/>
    <col min="13561" max="13561" width="11.42578125" style="36" customWidth="1"/>
    <col min="13562" max="13562" width="11.28515625" style="36" bestFit="1" customWidth="1"/>
    <col min="13563" max="13814" width="9.140625" style="36"/>
    <col min="13815" max="13815" width="7.5703125" style="36" customWidth="1"/>
    <col min="13816" max="13816" width="56.7109375" style="36" bestFit="1" customWidth="1"/>
    <col min="13817" max="13817" width="11.42578125" style="36" customWidth="1"/>
    <col min="13818" max="13818" width="11.28515625" style="36" bestFit="1" customWidth="1"/>
    <col min="13819" max="14070" width="9.140625" style="36"/>
    <col min="14071" max="14071" width="7.5703125" style="36" customWidth="1"/>
    <col min="14072" max="14072" width="56.7109375" style="36" bestFit="1" customWidth="1"/>
    <col min="14073" max="14073" width="11.42578125" style="36" customWidth="1"/>
    <col min="14074" max="14074" width="11.28515625" style="36" bestFit="1" customWidth="1"/>
    <col min="14075" max="14326" width="9.140625" style="36"/>
    <col min="14327" max="14327" width="7.5703125" style="36" customWidth="1"/>
    <col min="14328" max="14328" width="56.7109375" style="36" bestFit="1" customWidth="1"/>
    <col min="14329" max="14329" width="11.42578125" style="36" customWidth="1"/>
    <col min="14330" max="14330" width="11.28515625" style="36" bestFit="1" customWidth="1"/>
    <col min="14331" max="14582" width="9.140625" style="36"/>
    <col min="14583" max="14583" width="7.5703125" style="36" customWidth="1"/>
    <col min="14584" max="14584" width="56.7109375" style="36" bestFit="1" customWidth="1"/>
    <col min="14585" max="14585" width="11.42578125" style="36" customWidth="1"/>
    <col min="14586" max="14586" width="11.28515625" style="36" bestFit="1" customWidth="1"/>
    <col min="14587" max="14838" width="9.140625" style="36"/>
    <col min="14839" max="14839" width="7.5703125" style="36" customWidth="1"/>
    <col min="14840" max="14840" width="56.7109375" style="36" bestFit="1" customWidth="1"/>
    <col min="14841" max="14841" width="11.42578125" style="36" customWidth="1"/>
    <col min="14842" max="14842" width="11.28515625" style="36" bestFit="1" customWidth="1"/>
    <col min="14843" max="15094" width="9.140625" style="36"/>
    <col min="15095" max="15095" width="7.5703125" style="36" customWidth="1"/>
    <col min="15096" max="15096" width="56.7109375" style="36" bestFit="1" customWidth="1"/>
    <col min="15097" max="15097" width="11.42578125" style="36" customWidth="1"/>
    <col min="15098" max="15098" width="11.28515625" style="36" bestFit="1" customWidth="1"/>
    <col min="15099" max="15350" width="9.140625" style="36"/>
    <col min="15351" max="15351" width="7.5703125" style="36" customWidth="1"/>
    <col min="15352" max="15352" width="56.7109375" style="36" bestFit="1" customWidth="1"/>
    <col min="15353" max="15353" width="11.42578125" style="36" customWidth="1"/>
    <col min="15354" max="15354" width="11.28515625" style="36" bestFit="1" customWidth="1"/>
    <col min="15355" max="15606" width="9.140625" style="36"/>
    <col min="15607" max="15607" width="7.5703125" style="36" customWidth="1"/>
    <col min="15608" max="15608" width="56.7109375" style="36" bestFit="1" customWidth="1"/>
    <col min="15609" max="15609" width="11.42578125" style="36" customWidth="1"/>
    <col min="15610" max="15610" width="11.28515625" style="36" bestFit="1" customWidth="1"/>
    <col min="15611" max="15862" width="9.140625" style="36"/>
    <col min="15863" max="15863" width="7.5703125" style="36" customWidth="1"/>
    <col min="15864" max="15864" width="56.7109375" style="36" bestFit="1" customWidth="1"/>
    <col min="15865" max="15865" width="11.42578125" style="36" customWidth="1"/>
    <col min="15866" max="15866" width="11.28515625" style="36" bestFit="1" customWidth="1"/>
    <col min="15867" max="16118" width="9.140625" style="36"/>
    <col min="16119" max="16119" width="7.5703125" style="36" customWidth="1"/>
    <col min="16120" max="16120" width="56.7109375" style="36" bestFit="1" customWidth="1"/>
    <col min="16121" max="16121" width="11.42578125" style="36" customWidth="1"/>
    <col min="16122" max="16122" width="11.28515625" style="36" bestFit="1" customWidth="1"/>
    <col min="16123" max="16384" width="9.140625" style="36"/>
  </cols>
  <sheetData>
    <row r="1" spans="1:17" ht="15" x14ac:dyDescent="0.25">
      <c r="A1" s="35" t="s">
        <v>85</v>
      </c>
    </row>
    <row r="2" spans="1:17" ht="15" x14ac:dyDescent="0.25">
      <c r="A2" s="35" t="s">
        <v>157</v>
      </c>
    </row>
    <row r="3" spans="1:17" ht="15" x14ac:dyDescent="0.25">
      <c r="A3" s="35" t="s">
        <v>86</v>
      </c>
    </row>
    <row r="7" spans="1:17" s="37" customFormat="1" ht="15" customHeight="1" x14ac:dyDescent="0.25">
      <c r="A7" s="62" t="s">
        <v>162</v>
      </c>
      <c r="B7" s="62"/>
    </row>
    <row r="8" spans="1:17" s="37" customFormat="1" ht="16.5" x14ac:dyDescent="0.25">
      <c r="A8" s="38" t="s">
        <v>161</v>
      </c>
      <c r="B8" s="38"/>
    </row>
    <row r="11" spans="1:17" s="35" customFormat="1" ht="16.5" x14ac:dyDescent="0.25">
      <c r="A11" s="52" t="s">
        <v>87</v>
      </c>
      <c r="B11" s="53" t="s">
        <v>88</v>
      </c>
      <c r="C11" s="60" t="s">
        <v>158</v>
      </c>
      <c r="L11" s="39"/>
      <c r="M11" s="39"/>
    </row>
    <row r="12" spans="1:17" x14ac:dyDescent="0.2">
      <c r="A12" s="54">
        <v>3112</v>
      </c>
      <c r="B12" s="54" t="s">
        <v>89</v>
      </c>
      <c r="C12" s="58">
        <f>5700000+2650000+580000+1400000+3000000+200000</f>
        <v>13530000</v>
      </c>
      <c r="J12" s="39"/>
      <c r="K12" s="39"/>
      <c r="L12" s="39"/>
      <c r="M12" s="39"/>
      <c r="O12" s="39"/>
      <c r="P12" s="39"/>
      <c r="Q12" s="40"/>
    </row>
    <row r="13" spans="1:17" x14ac:dyDescent="0.2">
      <c r="A13" s="54">
        <v>31120</v>
      </c>
      <c r="B13" s="54" t="s">
        <v>90</v>
      </c>
      <c r="C13" s="58">
        <v>8370000</v>
      </c>
      <c r="J13" s="39"/>
      <c r="K13" s="41"/>
      <c r="L13" s="41"/>
      <c r="M13" s="41"/>
      <c r="O13" s="42"/>
      <c r="P13" s="42"/>
      <c r="Q13" s="42"/>
    </row>
    <row r="14" spans="1:17" x14ac:dyDescent="0.2">
      <c r="A14" s="54">
        <v>31121</v>
      </c>
      <c r="B14" s="54" t="s">
        <v>91</v>
      </c>
      <c r="C14" s="58">
        <v>15000</v>
      </c>
      <c r="J14" s="39"/>
      <c r="K14" s="41"/>
      <c r="L14" s="41"/>
      <c r="M14" s="41"/>
      <c r="O14" s="42"/>
      <c r="P14" s="42"/>
      <c r="Q14" s="42"/>
    </row>
    <row r="15" spans="1:17" x14ac:dyDescent="0.2">
      <c r="A15" s="55">
        <v>31</v>
      </c>
      <c r="B15" s="55" t="s">
        <v>92</v>
      </c>
      <c r="C15" s="59">
        <f>C12+C13+C14</f>
        <v>21915000</v>
      </c>
      <c r="J15" s="39"/>
      <c r="K15" s="41"/>
      <c r="L15" s="41"/>
      <c r="M15" s="41"/>
      <c r="O15" s="42"/>
      <c r="P15" s="42"/>
    </row>
    <row r="16" spans="1:17" x14ac:dyDescent="0.2">
      <c r="A16" s="54">
        <v>3413</v>
      </c>
      <c r="B16" s="54" t="s">
        <v>93</v>
      </c>
      <c r="C16" s="58">
        <v>15000</v>
      </c>
      <c r="L16" s="39"/>
      <c r="M16" s="39"/>
    </row>
    <row r="17" spans="1:6" x14ac:dyDescent="0.2">
      <c r="A17" s="54">
        <v>3414</v>
      </c>
      <c r="B17" s="54" t="s">
        <v>152</v>
      </c>
      <c r="C17" s="58">
        <v>125000</v>
      </c>
      <c r="F17" s="43"/>
    </row>
    <row r="18" spans="1:6" x14ac:dyDescent="0.2">
      <c r="A18" s="54">
        <v>3415</v>
      </c>
      <c r="B18" s="54" t="s">
        <v>94</v>
      </c>
      <c r="C18" s="58">
        <v>20000</v>
      </c>
      <c r="F18" s="43"/>
    </row>
    <row r="19" spans="1:6" x14ac:dyDescent="0.2">
      <c r="A19" s="55">
        <v>341</v>
      </c>
      <c r="B19" s="55" t="s">
        <v>95</v>
      </c>
      <c r="C19" s="59">
        <f>C16+C17+C18</f>
        <v>160000</v>
      </c>
    </row>
    <row r="20" spans="1:6" x14ac:dyDescent="0.2">
      <c r="A20" s="55">
        <v>342</v>
      </c>
      <c r="B20" s="55" t="s">
        <v>160</v>
      </c>
      <c r="C20" s="59">
        <v>80000</v>
      </c>
    </row>
    <row r="21" spans="1:6" x14ac:dyDescent="0.2">
      <c r="A21" s="54">
        <v>3511</v>
      </c>
      <c r="B21" s="54" t="s">
        <v>154</v>
      </c>
      <c r="C21" s="58">
        <v>17700000</v>
      </c>
    </row>
    <row r="22" spans="1:6" hidden="1" x14ac:dyDescent="0.2">
      <c r="A22" s="54">
        <v>3512</v>
      </c>
      <c r="B22" s="54" t="s">
        <v>96</v>
      </c>
      <c r="C22" s="58"/>
    </row>
    <row r="23" spans="1:6" x14ac:dyDescent="0.2">
      <c r="A23" s="54">
        <v>3511</v>
      </c>
      <c r="B23" s="54" t="s">
        <v>155</v>
      </c>
      <c r="C23" s="58">
        <v>52000000</v>
      </c>
      <c r="E23" s="44"/>
    </row>
    <row r="24" spans="1:6" x14ac:dyDescent="0.2">
      <c r="A24" s="55">
        <v>351</v>
      </c>
      <c r="B24" s="55" t="s">
        <v>97</v>
      </c>
      <c r="C24" s="59">
        <f>C21+C23</f>
        <v>69700000</v>
      </c>
    </row>
    <row r="25" spans="1:6" x14ac:dyDescent="0.2">
      <c r="A25" s="55">
        <v>355</v>
      </c>
      <c r="B25" s="55" t="s">
        <v>98</v>
      </c>
      <c r="C25" s="59">
        <v>15000</v>
      </c>
      <c r="E25" s="44"/>
    </row>
    <row r="26" spans="1:6" x14ac:dyDescent="0.2">
      <c r="A26" s="55">
        <v>361</v>
      </c>
      <c r="B26" s="55" t="s">
        <v>153</v>
      </c>
      <c r="C26" s="59">
        <v>10000</v>
      </c>
    </row>
    <row r="27" spans="1:6" x14ac:dyDescent="0.2">
      <c r="A27" s="55">
        <v>363</v>
      </c>
      <c r="B27" s="55" t="s">
        <v>99</v>
      </c>
      <c r="C27" s="59">
        <v>15000</v>
      </c>
    </row>
    <row r="28" spans="1:6" x14ac:dyDescent="0.2">
      <c r="A28" s="55">
        <v>371</v>
      </c>
      <c r="B28" s="55" t="s">
        <v>159</v>
      </c>
      <c r="C28" s="59">
        <v>350000</v>
      </c>
    </row>
    <row r="29" spans="1:6" s="35" customFormat="1" ht="16.5" x14ac:dyDescent="0.25">
      <c r="A29" s="53"/>
      <c r="B29" s="53" t="s">
        <v>100</v>
      </c>
      <c r="C29" s="61">
        <f>+C15+C19+C24+C25+C27+C26+C28+C20</f>
        <v>92245000</v>
      </c>
    </row>
    <row r="30" spans="1:6" x14ac:dyDescent="0.2">
      <c r="A30" s="45"/>
      <c r="B30" s="45"/>
      <c r="C30" s="46"/>
    </row>
    <row r="31" spans="1:6" x14ac:dyDescent="0.2">
      <c r="A31" s="45"/>
      <c r="B31" s="45"/>
      <c r="C31" s="46"/>
    </row>
    <row r="32" spans="1:6" x14ac:dyDescent="0.2">
      <c r="A32" s="45"/>
      <c r="B32" s="45"/>
      <c r="C32" s="46"/>
    </row>
    <row r="33" spans="1:15" s="35" customFormat="1" ht="16.5" x14ac:dyDescent="0.25">
      <c r="A33" s="52" t="s">
        <v>101</v>
      </c>
      <c r="B33" s="53" t="s">
        <v>102</v>
      </c>
      <c r="C33" s="60" t="s">
        <v>158</v>
      </c>
    </row>
    <row r="34" spans="1:15" x14ac:dyDescent="0.2">
      <c r="A34" s="56">
        <v>411</v>
      </c>
      <c r="B34" s="56" t="s">
        <v>103</v>
      </c>
      <c r="C34" s="59">
        <v>3500000</v>
      </c>
    </row>
    <row r="35" spans="1:15" x14ac:dyDescent="0.2">
      <c r="A35" s="56">
        <v>412</v>
      </c>
      <c r="B35" s="56" t="s">
        <v>104</v>
      </c>
      <c r="C35" s="59">
        <v>190000</v>
      </c>
    </row>
    <row r="36" spans="1:15" x14ac:dyDescent="0.2">
      <c r="A36" s="56">
        <v>413</v>
      </c>
      <c r="B36" s="56" t="s">
        <v>105</v>
      </c>
      <c r="C36" s="59">
        <v>550000</v>
      </c>
    </row>
    <row r="37" spans="1:15" x14ac:dyDescent="0.2">
      <c r="A37" s="49">
        <v>4211</v>
      </c>
      <c r="B37" s="49" t="s">
        <v>106</v>
      </c>
      <c r="C37" s="58">
        <v>200000</v>
      </c>
    </row>
    <row r="38" spans="1:15" x14ac:dyDescent="0.2">
      <c r="A38" s="49">
        <v>4212</v>
      </c>
      <c r="B38" s="49" t="s">
        <v>107</v>
      </c>
      <c r="C38" s="58">
        <v>160000</v>
      </c>
    </row>
    <row r="39" spans="1:15" x14ac:dyDescent="0.2">
      <c r="A39" s="49">
        <v>4213</v>
      </c>
      <c r="B39" s="49" t="s">
        <v>108</v>
      </c>
      <c r="C39" s="58">
        <v>2020</v>
      </c>
    </row>
    <row r="40" spans="1:15" x14ac:dyDescent="0.2">
      <c r="A40" s="56">
        <v>421</v>
      </c>
      <c r="B40" s="56" t="s">
        <v>109</v>
      </c>
      <c r="C40" s="59">
        <v>410000</v>
      </c>
    </row>
    <row r="41" spans="1:15" x14ac:dyDescent="0.2">
      <c r="A41" s="56">
        <v>422</v>
      </c>
      <c r="B41" s="56" t="s">
        <v>110</v>
      </c>
      <c r="C41" s="59">
        <v>320000</v>
      </c>
    </row>
    <row r="42" spans="1:15" x14ac:dyDescent="0.2">
      <c r="A42" s="56">
        <v>424</v>
      </c>
      <c r="B42" s="56" t="s">
        <v>27</v>
      </c>
      <c r="C42" s="59">
        <v>25000</v>
      </c>
      <c r="I42" s="44"/>
      <c r="J42" s="44"/>
      <c r="K42" s="44"/>
      <c r="L42" s="44"/>
      <c r="M42" s="44"/>
      <c r="N42" s="44"/>
      <c r="O42" s="44"/>
    </row>
    <row r="43" spans="1:15" x14ac:dyDescent="0.2">
      <c r="A43" s="49">
        <v>4251</v>
      </c>
      <c r="B43" s="49" t="s">
        <v>28</v>
      </c>
      <c r="C43" s="58">
        <v>115000</v>
      </c>
      <c r="I43" s="44"/>
      <c r="J43" s="44"/>
      <c r="K43" s="44"/>
      <c r="L43" s="44"/>
      <c r="M43" s="47"/>
      <c r="N43" s="44"/>
      <c r="O43" s="44"/>
    </row>
    <row r="44" spans="1:15" x14ac:dyDescent="0.2">
      <c r="A44" s="49">
        <v>4252</v>
      </c>
      <c r="B44" s="49" t="s">
        <v>34</v>
      </c>
      <c r="C44" s="58">
        <v>3500000</v>
      </c>
      <c r="I44" s="44"/>
      <c r="J44" s="44"/>
      <c r="K44" s="44"/>
      <c r="L44" s="44"/>
      <c r="M44" s="47"/>
      <c r="N44" s="44"/>
      <c r="O44" s="44"/>
    </row>
    <row r="45" spans="1:15" x14ac:dyDescent="0.2">
      <c r="A45" s="49">
        <v>4253</v>
      </c>
      <c r="B45" s="49" t="s">
        <v>32</v>
      </c>
      <c r="C45" s="58">
        <v>300000</v>
      </c>
      <c r="I45" s="44"/>
      <c r="J45" s="44"/>
      <c r="K45" s="44"/>
      <c r="L45" s="44"/>
      <c r="M45" s="47"/>
      <c r="N45" s="44"/>
      <c r="O45" s="44"/>
    </row>
    <row r="46" spans="1:15" x14ac:dyDescent="0.2">
      <c r="A46" s="49">
        <v>4254</v>
      </c>
      <c r="B46" s="49" t="s">
        <v>46</v>
      </c>
      <c r="C46" s="58">
        <v>950000</v>
      </c>
      <c r="I46" s="44"/>
      <c r="J46" s="44"/>
      <c r="K46" s="44"/>
      <c r="L46" s="44"/>
      <c r="M46" s="47"/>
      <c r="N46" s="47"/>
      <c r="O46" s="47"/>
    </row>
    <row r="47" spans="1:15" x14ac:dyDescent="0.2">
      <c r="A47" s="49">
        <v>4255</v>
      </c>
      <c r="B47" s="49" t="s">
        <v>55</v>
      </c>
      <c r="C47" s="58">
        <v>0</v>
      </c>
      <c r="I47" s="44"/>
      <c r="J47" s="44"/>
      <c r="K47" s="44"/>
      <c r="L47" s="44"/>
      <c r="M47" s="47"/>
      <c r="N47" s="44"/>
      <c r="O47" s="44"/>
    </row>
    <row r="48" spans="1:15" x14ac:dyDescent="0.2">
      <c r="A48" s="49">
        <v>4256</v>
      </c>
      <c r="B48" s="49" t="s">
        <v>111</v>
      </c>
      <c r="C48" s="58">
        <f>40000*1.25</f>
        <v>50000</v>
      </c>
      <c r="D48" s="44"/>
      <c r="E48" s="44"/>
      <c r="I48" s="44"/>
      <c r="J48" s="44"/>
      <c r="K48" s="44"/>
      <c r="L48" s="44"/>
      <c r="M48" s="47"/>
      <c r="N48" s="44"/>
      <c r="O48" s="44"/>
    </row>
    <row r="49" spans="1:15" x14ac:dyDescent="0.2">
      <c r="A49" s="49">
        <v>4257</v>
      </c>
      <c r="B49" s="49" t="s">
        <v>58</v>
      </c>
      <c r="C49" s="58">
        <v>1500000</v>
      </c>
      <c r="D49" s="44"/>
      <c r="E49" s="44"/>
      <c r="I49" s="44"/>
      <c r="J49" s="44"/>
      <c r="K49" s="44"/>
      <c r="L49" s="44"/>
      <c r="M49" s="47"/>
      <c r="N49" s="44"/>
      <c r="O49" s="44"/>
    </row>
    <row r="50" spans="1:15" x14ac:dyDescent="0.2">
      <c r="A50" s="49">
        <v>4258</v>
      </c>
      <c r="B50" s="49" t="s">
        <v>112</v>
      </c>
      <c r="C50" s="58">
        <v>55000</v>
      </c>
      <c r="D50" s="44"/>
      <c r="E50" s="44"/>
      <c r="I50" s="44"/>
      <c r="J50" s="44"/>
      <c r="K50" s="44"/>
      <c r="L50" s="44"/>
      <c r="M50" s="47"/>
      <c r="N50" s="44"/>
      <c r="O50" s="44"/>
    </row>
    <row r="51" spans="1:15" x14ac:dyDescent="0.2">
      <c r="A51" s="49">
        <v>4259</v>
      </c>
      <c r="B51" s="49" t="s">
        <v>113</v>
      </c>
      <c r="C51" s="58">
        <v>30000</v>
      </c>
      <c r="D51" s="44"/>
      <c r="E51" s="44"/>
      <c r="I51" s="44"/>
      <c r="J51" s="44"/>
      <c r="K51" s="44"/>
      <c r="L51" s="44"/>
      <c r="M51" s="47"/>
      <c r="N51" s="44"/>
      <c r="O51" s="44"/>
    </row>
    <row r="52" spans="1:15" x14ac:dyDescent="0.2">
      <c r="A52" s="56">
        <v>425</v>
      </c>
      <c r="B52" s="56" t="s">
        <v>114</v>
      </c>
      <c r="C52" s="59">
        <f>SUM(C43:C51)</f>
        <v>6500000</v>
      </c>
      <c r="I52" s="44"/>
      <c r="J52" s="44"/>
      <c r="K52" s="44"/>
      <c r="L52" s="44"/>
      <c r="M52" s="47"/>
      <c r="N52" s="44"/>
      <c r="O52" s="44"/>
    </row>
    <row r="53" spans="1:15" x14ac:dyDescent="0.2">
      <c r="A53" s="56">
        <v>426</v>
      </c>
      <c r="B53" s="56" t="s">
        <v>79</v>
      </c>
      <c r="C53" s="59">
        <v>400000</v>
      </c>
      <c r="I53" s="44"/>
      <c r="J53" s="44"/>
      <c r="K53" s="44"/>
      <c r="L53" s="44"/>
      <c r="M53" s="44"/>
      <c r="N53" s="44"/>
      <c r="O53" s="44"/>
    </row>
    <row r="54" spans="1:15" x14ac:dyDescent="0.2">
      <c r="A54" s="49">
        <v>4291</v>
      </c>
      <c r="B54" s="49" t="s">
        <v>115</v>
      </c>
      <c r="C54" s="58">
        <v>40000</v>
      </c>
    </row>
    <row r="55" spans="1:15" x14ac:dyDescent="0.2">
      <c r="A55" s="49">
        <v>4292</v>
      </c>
      <c r="B55" s="49" t="s">
        <v>116</v>
      </c>
      <c r="C55" s="58">
        <v>80000</v>
      </c>
    </row>
    <row r="56" spans="1:15" x14ac:dyDescent="0.2">
      <c r="A56" s="49">
        <v>4293</v>
      </c>
      <c r="B56" s="49" t="s">
        <v>117</v>
      </c>
      <c r="C56" s="58">
        <v>90000</v>
      </c>
    </row>
    <row r="57" spans="1:15" x14ac:dyDescent="0.2">
      <c r="A57" s="46" t="s">
        <v>118</v>
      </c>
      <c r="B57" s="49" t="s">
        <v>119</v>
      </c>
      <c r="C57" s="58">
        <v>5000</v>
      </c>
    </row>
    <row r="58" spans="1:15" x14ac:dyDescent="0.2">
      <c r="A58" s="56">
        <v>429</v>
      </c>
      <c r="B58" s="56" t="s">
        <v>119</v>
      </c>
      <c r="C58" s="59">
        <f>SUM(C54:C57)</f>
        <v>215000</v>
      </c>
    </row>
    <row r="59" spans="1:15" x14ac:dyDescent="0.2">
      <c r="A59" s="49">
        <v>4311</v>
      </c>
      <c r="B59" s="49" t="s">
        <v>120</v>
      </c>
      <c r="C59" s="58">
        <v>300000</v>
      </c>
    </row>
    <row r="60" spans="1:15" x14ac:dyDescent="0.2">
      <c r="A60" s="49">
        <v>43110</v>
      </c>
      <c r="B60" s="49" t="s">
        <v>148</v>
      </c>
      <c r="C60" s="58">
        <v>52000000</v>
      </c>
    </row>
    <row r="61" spans="1:15" hidden="1" x14ac:dyDescent="0.2">
      <c r="A61" s="49">
        <v>43111</v>
      </c>
      <c r="B61" s="49" t="s">
        <v>156</v>
      </c>
      <c r="C61" s="58"/>
    </row>
    <row r="62" spans="1:15" x14ac:dyDescent="0.2">
      <c r="A62" s="56">
        <v>431</v>
      </c>
      <c r="B62" s="56" t="s">
        <v>121</v>
      </c>
      <c r="C62" s="59">
        <f>SUM(C59:C61)</f>
        <v>52300000</v>
      </c>
    </row>
    <row r="63" spans="1:15" x14ac:dyDescent="0.2">
      <c r="A63" s="49">
        <v>44211</v>
      </c>
      <c r="B63" s="49" t="s">
        <v>122</v>
      </c>
      <c r="C63" s="58">
        <v>600000</v>
      </c>
    </row>
    <row r="64" spans="1:15" x14ac:dyDescent="0.2">
      <c r="A64" s="49">
        <v>44212</v>
      </c>
      <c r="B64" s="49" t="s">
        <v>123</v>
      </c>
      <c r="C64" s="58">
        <v>17100000</v>
      </c>
    </row>
    <row r="65" spans="1:3" x14ac:dyDescent="0.2">
      <c r="A65" s="56">
        <v>442</v>
      </c>
      <c r="B65" s="56" t="s">
        <v>124</v>
      </c>
      <c r="C65" s="59">
        <f>SUM(C63:C64)</f>
        <v>17700000</v>
      </c>
    </row>
    <row r="66" spans="1:3" x14ac:dyDescent="0.2">
      <c r="A66" s="49">
        <v>4431</v>
      </c>
      <c r="B66" s="49" t="s">
        <v>125</v>
      </c>
      <c r="C66" s="58">
        <v>20000</v>
      </c>
    </row>
    <row r="67" spans="1:3" x14ac:dyDescent="0.2">
      <c r="A67" s="49">
        <v>4432</v>
      </c>
      <c r="B67" s="49" t="s">
        <v>126</v>
      </c>
      <c r="C67" s="58">
        <v>6000000</v>
      </c>
    </row>
    <row r="68" spans="1:3" x14ac:dyDescent="0.2">
      <c r="A68" s="49">
        <v>4430</v>
      </c>
      <c r="B68" s="49" t="s">
        <v>127</v>
      </c>
      <c r="C68" s="58">
        <v>0</v>
      </c>
    </row>
    <row r="69" spans="1:3" x14ac:dyDescent="0.2">
      <c r="A69" s="56">
        <v>443</v>
      </c>
      <c r="B69" s="56" t="s">
        <v>128</v>
      </c>
      <c r="C69" s="59">
        <f>SUM(C66:C68)</f>
        <v>6020000</v>
      </c>
    </row>
    <row r="70" spans="1:3" x14ac:dyDescent="0.2">
      <c r="A70" s="56">
        <v>462</v>
      </c>
      <c r="B70" s="56" t="s">
        <v>129</v>
      </c>
      <c r="C70" s="59">
        <v>5000</v>
      </c>
    </row>
    <row r="71" spans="1:3" s="35" customFormat="1" ht="16.5" x14ac:dyDescent="0.25">
      <c r="A71" s="57"/>
      <c r="B71" s="53" t="s">
        <v>130</v>
      </c>
      <c r="C71" s="61">
        <f>+C34+C35+C36+C40+C41+C42+C53+C52+C58+C62+C65+C69+C70</f>
        <v>88135000</v>
      </c>
    </row>
    <row r="72" spans="1:3" s="35" customFormat="1" ht="16.5" x14ac:dyDescent="0.25">
      <c r="A72" s="52" t="s">
        <v>131</v>
      </c>
      <c r="B72" s="53" t="s">
        <v>132</v>
      </c>
      <c r="C72" s="61">
        <f>+C29-C71</f>
        <v>4110000</v>
      </c>
    </row>
    <row r="73" spans="1:3" x14ac:dyDescent="0.2">
      <c r="A73" s="48"/>
      <c r="C73" s="49"/>
    </row>
    <row r="74" spans="1:3" x14ac:dyDescent="0.2">
      <c r="A74" s="48"/>
    </row>
    <row r="75" spans="1:3" x14ac:dyDescent="0.2">
      <c r="A75" s="50"/>
      <c r="B75" s="48"/>
    </row>
    <row r="76" spans="1:3" x14ac:dyDescent="0.2">
      <c r="A76" s="50"/>
      <c r="B76" s="51"/>
    </row>
    <row r="77" spans="1:3" x14ac:dyDescent="0.2">
      <c r="A77" s="50"/>
      <c r="B77" s="48"/>
    </row>
    <row r="78" spans="1:3" x14ac:dyDescent="0.2">
      <c r="A78" s="48"/>
      <c r="B78" s="48"/>
    </row>
    <row r="79" spans="1:3" x14ac:dyDescent="0.2">
      <c r="A79" s="48"/>
      <c r="B79" s="48"/>
    </row>
    <row r="80" spans="1:3" x14ac:dyDescent="0.2">
      <c r="A80" s="48"/>
      <c r="B80" s="48"/>
    </row>
    <row r="81" spans="1:1" x14ac:dyDescent="0.2">
      <c r="A81" s="48"/>
    </row>
    <row r="82" spans="1:1" x14ac:dyDescent="0.2">
      <c r="A82" s="48"/>
    </row>
    <row r="83" spans="1:1" x14ac:dyDescent="0.2">
      <c r="A83" s="48"/>
    </row>
    <row r="84" spans="1:1" x14ac:dyDescent="0.2">
      <c r="A84" s="48"/>
    </row>
    <row r="85" spans="1:1" x14ac:dyDescent="0.2">
      <c r="A85" s="48"/>
    </row>
    <row r="86" spans="1:1" x14ac:dyDescent="0.2">
      <c r="A86" s="48"/>
    </row>
    <row r="87" spans="1:1" x14ac:dyDescent="0.2">
      <c r="A87" s="48"/>
    </row>
    <row r="88" spans="1:1" x14ac:dyDescent="0.2">
      <c r="A88" s="48"/>
    </row>
    <row r="89" spans="1:1" x14ac:dyDescent="0.2">
      <c r="A89" s="48"/>
    </row>
    <row r="90" spans="1:1" x14ac:dyDescent="0.2">
      <c r="A90" s="48"/>
    </row>
    <row r="91" spans="1:1" x14ac:dyDescent="0.2">
      <c r="A91" s="48"/>
    </row>
    <row r="92" spans="1:1" x14ac:dyDescent="0.2">
      <c r="A92" s="48"/>
    </row>
    <row r="93" spans="1:1" x14ac:dyDescent="0.2">
      <c r="A93" s="48"/>
    </row>
    <row r="94" spans="1:1" x14ac:dyDescent="0.2">
      <c r="A94" s="48"/>
    </row>
    <row r="95" spans="1:1" x14ac:dyDescent="0.2">
      <c r="A95" s="48"/>
    </row>
    <row r="96" spans="1:1" x14ac:dyDescent="0.2">
      <c r="A96" s="48"/>
    </row>
  </sheetData>
  <mergeCells count="1">
    <mergeCell ref="A7:B7"/>
  </mergeCells>
  <pageMargins left="0.7" right="0.7" top="0.75" bottom="0.75" header="0.3" footer="0.3"/>
  <pageSetup paperSize="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Rashodi - Investicije</vt:lpstr>
      <vt:lpstr>Prihodi</vt:lpstr>
      <vt:lpstr>Rashodi po kontima</vt:lpstr>
      <vt:lpstr>Kreditna zaduženost</vt:lpstr>
      <vt:lpstr>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2020-01-09T11:35:43Z</cp:lastPrinted>
  <dcterms:created xsi:type="dcterms:W3CDTF">2015-01-14T11:28:01Z</dcterms:created>
  <dcterms:modified xsi:type="dcterms:W3CDTF">2020-08-20T09:24:57Z</dcterms:modified>
</cp:coreProperties>
</file>