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\Documents\FINANCIJSKI PLANOVI\FINANCIJSKI PLAN 2019\FINANCIJSKI PLAN - I. IZMJENA I DOPUNA\"/>
    </mc:Choice>
  </mc:AlternateContent>
  <bookViews>
    <workbookView xWindow="0" yWindow="0" windowWidth="28800" windowHeight="12435" firstSheet="4" activeTab="6"/>
  </bookViews>
  <sheets>
    <sheet name="Rashodi - Investicije" sheetId="1" state="hidden" r:id="rId1"/>
    <sheet name="Prihodi" sheetId="2" state="hidden" r:id="rId2"/>
    <sheet name="Rashodi po kontima" sheetId="3" state="hidden" r:id="rId3"/>
    <sheet name="Kreditna zaduženost" sheetId="5" state="hidden" r:id="rId4"/>
    <sheet name="FINAL  2017 izmjena radna" sheetId="6" r:id="rId5"/>
    <sheet name="2018" sheetId="7" r:id="rId6"/>
    <sheet name="FINAL 2018 OK" sheetId="8" r:id="rId7"/>
  </sheets>
  <definedNames>
    <definedName name="_xlnm.Print_Area" localSheetId="5">'2018'!$A$1:$K$74</definedName>
    <definedName name="_xlnm.Print_Area" localSheetId="6">'FINAL 2018 OK'!$A$5:$E$70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8" l="1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26" i="8"/>
  <c r="E25" i="8"/>
  <c r="E24" i="8"/>
  <c r="E23" i="8"/>
  <c r="E22" i="8"/>
  <c r="E21" i="8"/>
  <c r="E20" i="8"/>
  <c r="E19" i="8"/>
  <c r="E18" i="8"/>
  <c r="E17" i="8"/>
  <c r="E16" i="8"/>
  <c r="E14" i="8"/>
  <c r="E13" i="8"/>
  <c r="E12" i="8"/>
  <c r="D20" i="8" l="1"/>
  <c r="D67" i="8" l="1"/>
  <c r="D63" i="8"/>
  <c r="D60" i="8"/>
  <c r="D52" i="8"/>
  <c r="D56" i="8" s="1"/>
  <c r="D50" i="8"/>
  <c r="D38" i="8"/>
  <c r="D23" i="8"/>
  <c r="D19" i="8"/>
  <c r="D15" i="8"/>
  <c r="E15" i="8" l="1"/>
  <c r="D27" i="8"/>
  <c r="E27" i="8" s="1"/>
  <c r="D69" i="8"/>
  <c r="D70" i="8" l="1"/>
  <c r="E70" i="8" s="1"/>
  <c r="C67" i="8" l="1"/>
  <c r="C60" i="8" l="1"/>
  <c r="C52" i="8"/>
  <c r="C38" i="8"/>
  <c r="D52" i="7" l="1"/>
  <c r="D40" i="7"/>
  <c r="F45" i="7" l="1"/>
  <c r="F46" i="7"/>
  <c r="F47" i="7"/>
  <c r="F48" i="7"/>
  <c r="F50" i="7"/>
  <c r="F51" i="7"/>
  <c r="F53" i="7"/>
  <c r="F54" i="7"/>
  <c r="F55" i="7"/>
  <c r="F56" i="7"/>
  <c r="F57" i="7"/>
  <c r="F59" i="7"/>
  <c r="F63" i="7"/>
  <c r="F64" i="7"/>
  <c r="F67" i="7"/>
  <c r="F68" i="7"/>
  <c r="F69" i="7"/>
  <c r="F71" i="7"/>
  <c r="F35" i="7"/>
  <c r="F36" i="7"/>
  <c r="F37" i="7"/>
  <c r="F38" i="7"/>
  <c r="F39" i="7"/>
  <c r="F41" i="7"/>
  <c r="F42" i="7"/>
  <c r="F43" i="7"/>
  <c r="F44" i="7"/>
  <c r="F34" i="7"/>
  <c r="F10" i="7"/>
  <c r="C56" i="8" l="1"/>
  <c r="D66" i="7"/>
  <c r="D58" i="7"/>
  <c r="D60" i="7" l="1"/>
  <c r="D62" i="7" l="1"/>
  <c r="F60" i="7"/>
  <c r="C19" i="8"/>
  <c r="F12" i="7" l="1"/>
  <c r="F14" i="7"/>
  <c r="F15" i="7"/>
  <c r="F16" i="7"/>
  <c r="F19" i="7"/>
  <c r="F20" i="7"/>
  <c r="F23" i="7"/>
  <c r="F24" i="7"/>
  <c r="C15" i="8"/>
  <c r="C50" i="8"/>
  <c r="C63" i="8"/>
  <c r="C23" i="8"/>
  <c r="D70" i="7"/>
  <c r="C70" i="7"/>
  <c r="C69" i="8" l="1"/>
  <c r="C27" i="8"/>
  <c r="D72" i="7"/>
  <c r="F70" i="7"/>
  <c r="D22" i="7"/>
  <c r="F22" i="7" s="1"/>
  <c r="C70" i="8" l="1"/>
  <c r="D11" i="7"/>
  <c r="F11" i="7" s="1"/>
  <c r="D18" i="7" l="1"/>
  <c r="D21" i="7" l="1"/>
  <c r="D13" i="7"/>
  <c r="D17" i="7"/>
  <c r="D25" i="7" l="1"/>
  <c r="C40" i="7"/>
  <c r="F40" i="7" s="1"/>
  <c r="D73" i="7" l="1"/>
  <c r="C58" i="7"/>
  <c r="F58" i="7" s="1"/>
  <c r="C66" i="7"/>
  <c r="F66" i="7" s="1"/>
  <c r="C62" i="7"/>
  <c r="F62" i="7" s="1"/>
  <c r="C49" i="7"/>
  <c r="C18" i="7"/>
  <c r="F18" i="7" s="1"/>
  <c r="C17" i="7"/>
  <c r="F17" i="7" s="1"/>
  <c r="C13" i="7"/>
  <c r="C52" i="7" l="1"/>
  <c r="F52" i="7" s="1"/>
  <c r="F49" i="7"/>
  <c r="F13" i="7"/>
  <c r="C21" i="7"/>
  <c r="C25" i="7" s="1"/>
  <c r="F25" i="7" s="1"/>
  <c r="C72" i="7"/>
  <c r="F72" i="7" s="1"/>
  <c r="C73" i="7" l="1"/>
  <c r="F21" i="7"/>
  <c r="G70" i="6"/>
  <c r="G50" i="6"/>
  <c r="G27" i="6" l="1"/>
  <c r="U42" i="6"/>
  <c r="G47" i="6"/>
  <c r="U47" i="6"/>
  <c r="U44" i="6"/>
  <c r="C20" i="6"/>
  <c r="G23" i="6"/>
  <c r="G20" i="6"/>
  <c r="C64" i="6"/>
  <c r="D64" i="6"/>
  <c r="G64" i="6"/>
  <c r="G68" i="6"/>
  <c r="G71" i="6" l="1"/>
  <c r="G60" i="6"/>
  <c r="G56" i="6"/>
  <c r="G38" i="6"/>
  <c r="C27" i="6" l="1"/>
  <c r="G19" i="6"/>
  <c r="G15" i="6"/>
  <c r="Y14" i="6"/>
  <c r="Y13" i="6"/>
  <c r="X15" i="6"/>
  <c r="U14" i="6"/>
  <c r="X13" i="6"/>
  <c r="X14" i="6" l="1"/>
  <c r="U15" i="6"/>
  <c r="U13" i="6"/>
  <c r="R47" i="6" l="1"/>
  <c r="R51" i="6" l="1"/>
  <c r="W44" i="6"/>
  <c r="T44" i="6"/>
  <c r="C60" i="6" l="1"/>
  <c r="C38" i="6" l="1"/>
  <c r="C50" i="6" l="1"/>
  <c r="C19" i="6"/>
  <c r="D15" i="6"/>
  <c r="C15" i="6"/>
  <c r="D27" i="6" l="1"/>
  <c r="C56" i="6"/>
  <c r="D56" i="6" l="1"/>
  <c r="E50" i="6"/>
  <c r="D50" i="6" l="1"/>
  <c r="D19" i="6"/>
  <c r="D70" i="6" l="1"/>
  <c r="D71" i="6" l="1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1" i="6"/>
  <c r="E52" i="6"/>
  <c r="E53" i="6"/>
  <c r="E54" i="6"/>
  <c r="E55" i="6"/>
  <c r="E56" i="6"/>
  <c r="E57" i="6"/>
  <c r="E58" i="6"/>
  <c r="E60" i="6"/>
  <c r="E61" i="6"/>
  <c r="E62" i="6"/>
  <c r="E64" i="6"/>
  <c r="E65" i="6"/>
  <c r="E66" i="6"/>
  <c r="E67" i="6"/>
  <c r="E69" i="6"/>
  <c r="E32" i="6"/>
  <c r="D68" i="6"/>
  <c r="D60" i="6"/>
  <c r="D54" i="6"/>
  <c r="D53" i="6"/>
  <c r="D52" i="6"/>
  <c r="D51" i="6"/>
  <c r="D42" i="6"/>
  <c r="D41" i="6"/>
  <c r="D49" i="6"/>
  <c r="D47" i="6"/>
  <c r="D45" i="6"/>
  <c r="D44" i="6"/>
  <c r="D43" i="6"/>
  <c r="D38" i="6"/>
  <c r="D35" i="6"/>
  <c r="D36" i="6"/>
  <c r="D37" i="6"/>
  <c r="E27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12" i="6"/>
  <c r="D13" i="6" l="1"/>
  <c r="D22" i="6"/>
  <c r="D23" i="6" s="1"/>
  <c r="C68" i="6" l="1"/>
  <c r="C23" i="6"/>
  <c r="C70" i="6" l="1"/>
  <c r="E68" i="6"/>
  <c r="F71" i="2"/>
  <c r="C75" i="3"/>
  <c r="C82" i="3"/>
  <c r="C81" i="3"/>
  <c r="C80" i="3"/>
  <c r="C79" i="3"/>
  <c r="C78" i="3"/>
  <c r="C76" i="3"/>
  <c r="D51" i="3"/>
  <c r="E10" i="5"/>
  <c r="E9" i="5"/>
  <c r="E8" i="5"/>
  <c r="D10" i="5"/>
  <c r="D9" i="5"/>
  <c r="D8" i="5"/>
  <c r="O32" i="2"/>
  <c r="C10" i="5"/>
  <c r="A10" i="5"/>
  <c r="C9" i="5"/>
  <c r="C8" i="5"/>
  <c r="O31" i="2"/>
  <c r="A7" i="5"/>
  <c r="A8" i="5" s="1"/>
  <c r="A9" i="5" s="1"/>
  <c r="A6" i="5"/>
  <c r="E70" i="6" l="1"/>
  <c r="C71" i="6"/>
  <c r="C32" i="3"/>
  <c r="D69" i="3" l="1"/>
  <c r="C50" i="3"/>
  <c r="F24" i="2"/>
  <c r="D36" i="2" l="1"/>
  <c r="E31" i="2"/>
  <c r="C35" i="2"/>
  <c r="C34" i="2"/>
  <c r="C33" i="2"/>
  <c r="B36" i="2"/>
  <c r="D31" i="2"/>
  <c r="D45" i="2"/>
  <c r="B45" i="2"/>
  <c r="C44" i="2"/>
  <c r="C45" i="2" s="1"/>
  <c r="C48" i="2"/>
  <c r="C43" i="2"/>
  <c r="C42" i="2"/>
  <c r="I31" i="2"/>
  <c r="H41" i="2"/>
  <c r="E41" i="2"/>
  <c r="D41" i="2"/>
  <c r="H31" i="2"/>
  <c r="I29" i="2"/>
  <c r="I30" i="2"/>
  <c r="B71" i="2"/>
  <c r="D70" i="2"/>
  <c r="D71" i="2" s="1"/>
  <c r="G71" i="2" s="1"/>
  <c r="G73" i="2" s="1"/>
  <c r="D66" i="2"/>
  <c r="F67" i="2"/>
  <c r="D67" i="2"/>
  <c r="F69" i="2"/>
  <c r="D69" i="2"/>
  <c r="D68" i="2"/>
  <c r="G60" i="2"/>
  <c r="D60" i="2"/>
  <c r="F60" i="2"/>
  <c r="B60" i="2"/>
  <c r="F59" i="2"/>
  <c r="D59" i="2"/>
  <c r="F58" i="2"/>
  <c r="D58" i="2"/>
  <c r="F57" i="2"/>
  <c r="D57" i="2"/>
  <c r="I53" i="2"/>
  <c r="H45" i="2" l="1"/>
  <c r="C47" i="2"/>
  <c r="C36" i="2"/>
  <c r="H36" i="2" s="1"/>
  <c r="M36" i="2" s="1"/>
  <c r="D55" i="2" l="1"/>
  <c r="C64" i="3"/>
  <c r="D59" i="3" s="1"/>
  <c r="D45" i="3"/>
  <c r="D48" i="3"/>
  <c r="D38" i="3"/>
  <c r="D16" i="3"/>
  <c r="D23" i="3"/>
  <c r="D35" i="3"/>
  <c r="D41" i="3"/>
  <c r="D40" i="3"/>
  <c r="C39" i="3"/>
  <c r="C20" i="3"/>
  <c r="D9" i="3"/>
  <c r="C30" i="3"/>
  <c r="D27" i="3" s="1"/>
  <c r="E42" i="2" l="1"/>
  <c r="D42" i="2"/>
  <c r="D44" i="2" l="1"/>
  <c r="G51" i="2" l="1"/>
  <c r="E10" i="1"/>
  <c r="G7" i="1"/>
  <c r="F7" i="1"/>
  <c r="D14" i="2"/>
  <c r="C14" i="2"/>
  <c r="D13" i="2"/>
  <c r="C13" i="2"/>
  <c r="D12" i="2"/>
  <c r="D9" i="2"/>
  <c r="D5" i="2"/>
  <c r="D11" i="2"/>
  <c r="C11" i="2"/>
  <c r="D10" i="2"/>
  <c r="D7" i="2"/>
  <c r="C10" i="2"/>
  <c r="D6" i="2"/>
  <c r="D8" i="2"/>
  <c r="D19" i="2" l="1"/>
  <c r="C7" i="2"/>
  <c r="G10" i="1" l="1"/>
  <c r="F10" i="1"/>
  <c r="F9" i="1"/>
  <c r="G9" i="1"/>
  <c r="G5" i="1"/>
  <c r="F5" i="1"/>
  <c r="E9" i="1"/>
  <c r="E5" i="1"/>
</calcChain>
</file>

<file path=xl/comments1.xml><?xml version="1.0" encoding="utf-8"?>
<comments xmlns="http://schemas.openxmlformats.org/spreadsheetml/2006/main">
  <authors>
    <author>Korisnik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  <charset val="238"/>
          </rPr>
          <t>Korisnik:</t>
        </r>
        <r>
          <rPr>
            <sz val="9"/>
            <color indexed="81"/>
            <rFont val="Tahoma"/>
            <family val="2"/>
            <charset val="238"/>
          </rPr>
          <t xml:space="preserve">
bez prihod MAX PLASTIKA</t>
        </r>
      </text>
    </comment>
    <comment ref="V44" authorId="0" shapeId="0">
      <text>
        <r>
          <rPr>
            <b/>
            <sz val="9"/>
            <color indexed="81"/>
            <rFont val="Tahoma"/>
            <family val="2"/>
            <charset val="238"/>
          </rPr>
          <t>Korisnik:</t>
        </r>
        <r>
          <rPr>
            <sz val="9"/>
            <color indexed="81"/>
            <rFont val="Tahoma"/>
            <family val="2"/>
            <charset val="238"/>
          </rPr>
          <t xml:space="preserve">
security 2 pol 17 procjena</t>
        </r>
      </text>
    </comment>
  </commentList>
</comments>
</file>

<file path=xl/sharedStrings.xml><?xml version="1.0" encoding="utf-8"?>
<sst xmlns="http://schemas.openxmlformats.org/spreadsheetml/2006/main" count="410" uniqueCount="228">
  <si>
    <t>LOT II/III a</t>
  </si>
  <si>
    <t>HRK</t>
  </si>
  <si>
    <t>Planirana neto realizacija - do kraja ugovora EUR</t>
  </si>
  <si>
    <t>tečaj</t>
  </si>
  <si>
    <t>TA</t>
  </si>
  <si>
    <t>CS</t>
  </si>
  <si>
    <t>Preprojektiranje</t>
  </si>
  <si>
    <t>s PDV-om</t>
  </si>
  <si>
    <t>PDV</t>
  </si>
  <si>
    <t>Jedinstvo</t>
  </si>
  <si>
    <t>SBERBANK</t>
  </si>
  <si>
    <t>Kamate na oročena sredstva</t>
  </si>
  <si>
    <t>OTP vlastita sredstva HRK</t>
  </si>
  <si>
    <t>OTP vlastita sredstva EUR</t>
  </si>
  <si>
    <t>depozit</t>
  </si>
  <si>
    <t xml:space="preserve">OTP sredstva kredita EUR </t>
  </si>
  <si>
    <t>TERETI</t>
  </si>
  <si>
    <t>kruti tereti</t>
  </si>
  <si>
    <t>tekući tereti</t>
  </si>
  <si>
    <t>NEGATIVNE TEČAJNE RAZLIKE</t>
  </si>
  <si>
    <t>SALDO EIB ZAJMA 31.12.2014.</t>
  </si>
  <si>
    <t>TEČAJ 31.12.2014.</t>
  </si>
  <si>
    <t>TEČAJ 30.6.2015.</t>
  </si>
  <si>
    <t>TEČAJ 31.12.2015.</t>
  </si>
  <si>
    <t xml:space="preserve">OTPLATA </t>
  </si>
  <si>
    <t>SALDO KfW ZAJMA 31.12.2014.</t>
  </si>
  <si>
    <t>RAZLIKA</t>
  </si>
  <si>
    <t>Naknade ostalim osobama izvan radnog odnosa</t>
  </si>
  <si>
    <t>Usluge telefona, pošte, prijevoza</t>
  </si>
  <si>
    <t>usl. pošte</t>
  </si>
  <si>
    <t>usl. prijevoza</t>
  </si>
  <si>
    <t>usl. telefona</t>
  </si>
  <si>
    <t>Usluge promidžbe i informiranja</t>
  </si>
  <si>
    <t>Internet</t>
  </si>
  <si>
    <t xml:space="preserve">Usluge tekućeg i investicijskog održavanja </t>
  </si>
  <si>
    <t>Tr.pranja služb. automobila</t>
  </si>
  <si>
    <t>kom. i prijevoz</t>
  </si>
  <si>
    <t>Tr. auto servisa</t>
  </si>
  <si>
    <t>Tr. inv. održavanja - Gaženica</t>
  </si>
  <si>
    <t>Tr. održavanja pom. signalizacije</t>
  </si>
  <si>
    <t>Tr. održavanja programa</t>
  </si>
  <si>
    <t>Tr. usluge tegljača</t>
  </si>
  <si>
    <t>Tr. održavanja putn. luka</t>
  </si>
  <si>
    <t>usluge objave javnog nadmetanja</t>
  </si>
  <si>
    <t>Izložbeni prostor na sajmu</t>
  </si>
  <si>
    <t>Promidžbeni materijal</t>
  </si>
  <si>
    <t>Komunalne usluge</t>
  </si>
  <si>
    <t>trošak parkinga</t>
  </si>
  <si>
    <t>trošak cestarine</t>
  </si>
  <si>
    <t>opskrba vodom</t>
  </si>
  <si>
    <t>usluge čišćenja, pranja i sl.</t>
  </si>
  <si>
    <t>usluge čuvanja imovine i osoba</t>
  </si>
  <si>
    <t>tr. kom. nakn. i nakn. za uređenje voda</t>
  </si>
  <si>
    <t>skupljanje i zbrinjavanje kom. otpada</t>
  </si>
  <si>
    <t>Tr. ost. servisa</t>
  </si>
  <si>
    <t>Zakupnine i najamnine</t>
  </si>
  <si>
    <t>Najam posl. prostora - Grad</t>
  </si>
  <si>
    <t>Ostali tr. zakupnine</t>
  </si>
  <si>
    <t>Intelektualne i osobne usluge</t>
  </si>
  <si>
    <t>trošak rada putem posredovanja</t>
  </si>
  <si>
    <t>revizorske usluge</t>
  </si>
  <si>
    <t>usluge odvjetnika i pravnog savjetovanja</t>
  </si>
  <si>
    <t>računalne usluge</t>
  </si>
  <si>
    <t>grafičke i tiskarske usluge</t>
  </si>
  <si>
    <t>usluge pri registarciji prijevoznih sredstava</t>
  </si>
  <si>
    <t>geodetsko - katastarske usluge</t>
  </si>
  <si>
    <t xml:space="preserve">Uredski materijal </t>
  </si>
  <si>
    <t>literatura</t>
  </si>
  <si>
    <t>materijal i sredstva za čišćenje i održavanje</t>
  </si>
  <si>
    <t>ostali materijal za potrebe redovnog poslovanja</t>
  </si>
  <si>
    <t>električna energija</t>
  </si>
  <si>
    <t>motorni benzin i dizel gorivo</t>
  </si>
  <si>
    <t>autogume</t>
  </si>
  <si>
    <t>SALDO EIB ZAJMA 31.12.2013.</t>
  </si>
  <si>
    <t>TEČAJ 31.12.2013.</t>
  </si>
  <si>
    <t>TEČAJ 1.3.2015.</t>
  </si>
  <si>
    <t>negativna tečajna razlika za kapitalizirati</t>
  </si>
  <si>
    <t>neg. teč. razlika za Račun PiR</t>
  </si>
  <si>
    <t>ukupno</t>
  </si>
  <si>
    <t>Rashodi za materijal i energiju</t>
  </si>
  <si>
    <t>Trošak reprezentacije</t>
  </si>
  <si>
    <t>Interni</t>
  </si>
  <si>
    <t>Vanjski</t>
  </si>
  <si>
    <t>Medcruise</t>
  </si>
  <si>
    <t>Promidžbeni materijal - Medcruise</t>
  </si>
  <si>
    <t>Lučka uprava Zadar</t>
  </si>
  <si>
    <t>23 000 Zadar</t>
  </si>
  <si>
    <t xml:space="preserve">I. </t>
  </si>
  <si>
    <t>PLANIRANI PRIHODI</t>
  </si>
  <si>
    <t>Prihodi od naplate lučkih pristojbi</t>
  </si>
  <si>
    <t>Prihodi od koncesija</t>
  </si>
  <si>
    <t>Prihodi od naplata pristojbi za izdavanje identifikacijskih iskaznica</t>
  </si>
  <si>
    <t>Prihodi od prodaje roba i pružanja usluga</t>
  </si>
  <si>
    <t>Kamate na oročena sredstva i depozite po viđenju</t>
  </si>
  <si>
    <t>Prihodi od pozitivnih tečajnih razlika</t>
  </si>
  <si>
    <t>Prihodi od financijske imovine</t>
  </si>
  <si>
    <t>Prihodi od donacija iz državnog proračuna - ribarska luka Lamjana</t>
  </si>
  <si>
    <t xml:space="preserve">Prihodi od donacija iz Državnog proračuna </t>
  </si>
  <si>
    <t>Ostali prihodi od donacija</t>
  </si>
  <si>
    <t>Ostali nespomenuti prihodi</t>
  </si>
  <si>
    <t>UKUPNO PRIHODI</t>
  </si>
  <si>
    <t>II.</t>
  </si>
  <si>
    <t>PLANIRANI RASHODI</t>
  </si>
  <si>
    <t>Plaće</t>
  </si>
  <si>
    <t>Ostali rashodi za zaposlene</t>
  </si>
  <si>
    <t>Doprinosi na plaće</t>
  </si>
  <si>
    <t>Službena putovanja</t>
  </si>
  <si>
    <t>Naknade za prijevoz, za rad na terenu i odvojeni život</t>
  </si>
  <si>
    <t>Stručno usavršavanje radnika</t>
  </si>
  <si>
    <t>Naknade troškova zaposlenima</t>
  </si>
  <si>
    <t>Naknade članovima Upravnog vijeća</t>
  </si>
  <si>
    <t>Zdravstvene i veterinarske usluge</t>
  </si>
  <si>
    <t>Računalne usluge</t>
  </si>
  <si>
    <t>Ostale usluge</t>
  </si>
  <si>
    <t>Rashodi za usluge</t>
  </si>
  <si>
    <t>Premije osiguranja</t>
  </si>
  <si>
    <t>Reprezentacija</t>
  </si>
  <si>
    <t>Članarine</t>
  </si>
  <si>
    <t>4294/5</t>
  </si>
  <si>
    <t>Ostali nespomenuti materijalni rashodi</t>
  </si>
  <si>
    <t>Amortizacija</t>
  </si>
  <si>
    <t>Rashodi amortizacije</t>
  </si>
  <si>
    <t>Kamate za primljeni kredit - KfW</t>
  </si>
  <si>
    <t>Kamate za primljeni kredit - EIB</t>
  </si>
  <si>
    <t>Kamate za primljeni kredit - OTP</t>
  </si>
  <si>
    <t>Kamate za primljene kredite banaka i ostalih kreditora</t>
  </si>
  <si>
    <t>Bankarske usluge i usluge platnog prometa</t>
  </si>
  <si>
    <t>Negativne tečajne razlike i valutna klauzula</t>
  </si>
  <si>
    <t>Fin. rashodi - KfW commitment fee</t>
  </si>
  <si>
    <t>Ostali financijski rashodi</t>
  </si>
  <si>
    <t>Ostali nespomenuti rashodi</t>
  </si>
  <si>
    <t>UKUPNI RASHODI</t>
  </si>
  <si>
    <t>III.</t>
  </si>
  <si>
    <t xml:space="preserve">VIŠAK (MANJAK) PRIHODA  </t>
  </si>
  <si>
    <t>grafičke i tiskarske usluge - Medruise</t>
  </si>
  <si>
    <t>Stanje zaduženosti 1.1.2015.</t>
  </si>
  <si>
    <t>Novo zaduživanje</t>
  </si>
  <si>
    <t>Otplata u 2015.</t>
  </si>
  <si>
    <t>Smanjenje zaduženosti</t>
  </si>
  <si>
    <t>Smanjenje zaduženosti u %</t>
  </si>
  <si>
    <t>EIB (EUR)</t>
  </si>
  <si>
    <t>KfW (EUR)</t>
  </si>
  <si>
    <t>OTP (kn)</t>
  </si>
  <si>
    <t>Vlaho Đurković 9 mjeseci*20.000</t>
  </si>
  <si>
    <t>05119</t>
  </si>
  <si>
    <t>05513</t>
  </si>
  <si>
    <t>051121</t>
  </si>
  <si>
    <t>Privremena građ. - 20 god.</t>
  </si>
  <si>
    <t>Vrijednost im. u pripremi  25 god.</t>
  </si>
  <si>
    <t>Amortizacija - Nova luka Gaženica</t>
  </si>
  <si>
    <t>radna i zaštitna odjeća</t>
  </si>
  <si>
    <t>Stanje zaduženosti 31.12.2015.</t>
  </si>
  <si>
    <t xml:space="preserve">promidžbene akt. </t>
  </si>
  <si>
    <t>I. IZMJENA I DOPUNA</t>
  </si>
  <si>
    <t xml:space="preserve">Prihodi od zateznih kamata </t>
  </si>
  <si>
    <t>Plan 2017</t>
  </si>
  <si>
    <t>Prihod od naknade štete i refundacija</t>
  </si>
  <si>
    <t xml:space="preserve">PLAN PRIHODA I RASHODA LUČKE UPRAVE ZADAR ZA 2017. GODINU </t>
  </si>
  <si>
    <t>Prihodi od donacija iz Državnog proračuna - Projekt Nova luka Zadar*</t>
  </si>
  <si>
    <t>Prihodi od donacija iz Državnog proračuna - Projekt Nova luka Zadar**</t>
  </si>
  <si>
    <t>Rashodi za nabavu lučke infrastrukture</t>
  </si>
  <si>
    <t>01-06 2017</t>
  </si>
  <si>
    <t>Indeks</t>
  </si>
  <si>
    <t>Gaženička cesta 28 A</t>
  </si>
  <si>
    <t>* isplata regresa u 2.pol 2017</t>
  </si>
  <si>
    <t>Napomene</t>
  </si>
  <si>
    <t>* obračun na kraju godine</t>
  </si>
  <si>
    <t>* konzultant raskinut</t>
  </si>
  <si>
    <t>* niže kam. stope od plana</t>
  </si>
  <si>
    <t>* revizija u 2.pol 2017, RL dio</t>
  </si>
  <si>
    <t>* manja opskrba vodom</t>
  </si>
  <si>
    <t>* manje invest.održavanje</t>
  </si>
  <si>
    <t>Plan 2017 - NOVO</t>
  </si>
  <si>
    <t>zovak???</t>
  </si>
  <si>
    <t>nije bilo mobilnog wc</t>
  </si>
  <si>
    <t>dolazi crodux voda navodnjavanje</t>
  </si>
  <si>
    <t>benzin, struja 206, sredstva za čišćenje</t>
  </si>
  <si>
    <t>voda 120, kom otpad, fekalije, čišćenje pranje 75, čuvanje imovine 104</t>
  </si>
  <si>
    <t>sec</t>
  </si>
  <si>
    <t>struja</t>
  </si>
  <si>
    <t>natječaj zgrada, novi plan nabave igor, predstudije, infinity</t>
  </si>
  <si>
    <t>ostavljeno</t>
  </si>
  <si>
    <t>posredovanje, batimetrija, prijevod, ostalo (studija), miče se 100.000 UPU (pod HBOR)</t>
  </si>
  <si>
    <t>9 2016</t>
  </si>
  <si>
    <t>12 2106</t>
  </si>
  <si>
    <t>prist</t>
  </si>
  <si>
    <t>konc</t>
  </si>
  <si>
    <t>nadok</t>
  </si>
  <si>
    <t>razlika</t>
  </si>
  <si>
    <t>9 2017</t>
  </si>
  <si>
    <t>12 2017</t>
  </si>
  <si>
    <t>povećanje - osnova realizacija 3. q 2017 + 4.q.2016 -100.000</t>
  </si>
  <si>
    <t>real 2017</t>
  </si>
  <si>
    <t>3q</t>
  </si>
  <si>
    <t>Plan 2017
I. Izmjena</t>
  </si>
  <si>
    <t xml:space="preserve">PLAN PRIHODA I RASHODA LUČKE UPRAVE ZADAR ZA 2018. GODINU </t>
  </si>
  <si>
    <t>Plan 2018</t>
  </si>
  <si>
    <t>međunarodni - pad 75%</t>
  </si>
  <si>
    <t>kruzeri - rast 24%</t>
  </si>
  <si>
    <t>teretni - jednako</t>
  </si>
  <si>
    <t>ostalo (ribari, turist, jahte...) - pad 10% zbog pristojba ribari</t>
  </si>
  <si>
    <t>koncesije - rast zgrada terminala u 10.2018</t>
  </si>
  <si>
    <t>veća putovanja plan</t>
  </si>
  <si>
    <t>veća usavršavanja plan</t>
  </si>
  <si>
    <t>rast novi član UV u 2018</t>
  </si>
  <si>
    <t>prostor u gradu</t>
  </si>
  <si>
    <t>pregled djelatnika</t>
  </si>
  <si>
    <t>studenti 150.000,  revizija 187.500, geodetske 181.250, procjena i plan sigurnosti 42.000, studije, eu fondovi</t>
  </si>
  <si>
    <t>fotografije, virtualne šetnje zgradom</t>
  </si>
  <si>
    <t>plovilo, odgovornost, vozila</t>
  </si>
  <si>
    <t>djelom zbog zgrade otvaranje</t>
  </si>
  <si>
    <t>medcruise, zajednica LU, Klaster</t>
  </si>
  <si>
    <t>redovna</t>
  </si>
  <si>
    <t>dosad 40 mil. + zgrada 2.500.000 u 2018</t>
  </si>
  <si>
    <t>procjena tečaja u 2018 na 7,60</t>
  </si>
  <si>
    <t>eu fondovi</t>
  </si>
  <si>
    <t>tegljač 1.400.000, zelenilo 247.000,  uklanjanje zgrade policije 250.000, praćenje projekata 212.000, lučki procesi 180.000,  elektro 125.000, voda 145.000, ceste 175.000, ceste bojanje 120.000, plinovod 75.000</t>
  </si>
  <si>
    <t>opskrba vodom 510.000 (svi u luci), više kruzera, zgrada, crodux,  čiščenje zgrade i gata 255.00</t>
  </si>
  <si>
    <t>potrošnja struje i vode - izvođači radova</t>
  </si>
  <si>
    <t>lokalni promet - rast 2%</t>
  </si>
  <si>
    <t>nema zapošljavanja, povratak Bilić 02.2018, Jurin 10.2018, Tanja</t>
  </si>
  <si>
    <t>međun. Sajmovi manji 130.000,  svečanost za zgradu, katalozi, oglas Cruise ferry 35.000</t>
  </si>
  <si>
    <t>ažuriranja, nove mape, ius info</t>
  </si>
  <si>
    <t>struja 820.000 (svi) zgrada, crodux, max, sarag, ured materijal 23.000, sanit.opre 56.000, gorivo 31.000, zašt.odjeća 17.000</t>
  </si>
  <si>
    <t>amortizacija zgrada u 10.2018 (2.500.000 kn)</t>
  </si>
  <si>
    <t xml:space="preserve">PLAN PRIHODA I RASHODA LUČKE UPRAVE ZADAR ZA 2019. GODINU </t>
  </si>
  <si>
    <t>Plan 2019</t>
  </si>
  <si>
    <t xml:space="preserve">Plan 2019             I. Izmjena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</si>
</sst>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F_-;\-* #,##0\ _F_-;_-* &quot;-&quot;??\ _F_-;_-@_-"/>
    <numFmt numFmtId="165" formatCode="#,##0.000000"/>
    <numFmt numFmtId="167" formatCode="#,##0.00;[Red]#,##0.0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i/>
      <sz val="10"/>
      <color rgb="FFFF0000"/>
      <name val="Arial Narrow"/>
      <family val="2"/>
      <charset val="238"/>
    </font>
    <font>
      <b/>
      <i/>
      <u/>
      <sz val="10"/>
      <color rgb="FFFF0000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5" fillId="0" borderId="1" xfId="0" applyFont="1" applyFill="1" applyBorder="1"/>
    <xf numFmtId="0" fontId="5" fillId="0" borderId="2" xfId="0" applyFont="1" applyFill="1" applyBorder="1"/>
    <xf numFmtId="0" fontId="3" fillId="0" borderId="0" xfId="0" applyFont="1" applyAlignment="1">
      <alignment horizontal="center"/>
    </xf>
    <xf numFmtId="4" fontId="6" fillId="0" borderId="0" xfId="0" applyNumberFormat="1" applyFont="1"/>
    <xf numFmtId="165" fontId="3" fillId="0" borderId="0" xfId="0" applyNumberFormat="1" applyFont="1"/>
    <xf numFmtId="4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9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164" fontId="2" fillId="0" borderId="0" xfId="1" applyNumberFormat="1" applyFont="1" applyBorder="1" applyAlignment="1"/>
    <xf numFmtId="0" fontId="3" fillId="0" borderId="0" xfId="0" quotePrefix="1" applyFont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Border="1"/>
    <xf numFmtId="3" fontId="10" fillId="0" borderId="0" xfId="0" applyNumberFormat="1" applyFont="1" applyBorder="1"/>
    <xf numFmtId="0" fontId="10" fillId="0" borderId="10" xfId="0" applyFont="1" applyBorder="1"/>
    <xf numFmtId="3" fontId="10" fillId="0" borderId="10" xfId="0" applyNumberFormat="1" applyFont="1" applyBorder="1"/>
    <xf numFmtId="0" fontId="12" fillId="0" borderId="11" xfId="0" applyFont="1" applyBorder="1"/>
    <xf numFmtId="3" fontId="12" fillId="0" borderId="11" xfId="0" applyNumberFormat="1" applyFont="1" applyBorder="1"/>
    <xf numFmtId="0" fontId="10" fillId="0" borderId="11" xfId="0" applyFont="1" applyBorder="1"/>
    <xf numFmtId="3" fontId="10" fillId="0" borderId="11" xfId="0" applyNumberFormat="1" applyFont="1" applyBorder="1"/>
    <xf numFmtId="4" fontId="10" fillId="0" borderId="11" xfId="0" applyNumberFormat="1" applyFont="1" applyBorder="1"/>
    <xf numFmtId="3" fontId="10" fillId="0" borderId="0" xfId="0" applyNumberFormat="1" applyFont="1"/>
    <xf numFmtId="165" fontId="10" fillId="0" borderId="0" xfId="0" applyNumberFormat="1" applyFont="1"/>
    <xf numFmtId="0" fontId="14" fillId="0" borderId="0" xfId="0" applyFont="1"/>
    <xf numFmtId="0" fontId="15" fillId="0" borderId="0" xfId="0" applyFont="1" applyAlignment="1"/>
    <xf numFmtId="0" fontId="16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4" fillId="0" borderId="6" xfId="0" applyFont="1" applyFill="1" applyBorder="1" applyAlignment="1"/>
    <xf numFmtId="0" fontId="14" fillId="0" borderId="7" xfId="0" applyFont="1" applyFill="1" applyBorder="1" applyAlignment="1"/>
    <xf numFmtId="0" fontId="14" fillId="0" borderId="1" xfId="0" applyFont="1" applyFill="1" applyBorder="1" applyAlignment="1"/>
    <xf numFmtId="0" fontId="14" fillId="0" borderId="2" xfId="0" applyFont="1" applyFill="1" applyBorder="1" applyAlignment="1"/>
    <xf numFmtId="0" fontId="13" fillId="0" borderId="1" xfId="0" applyFont="1" applyFill="1" applyBorder="1" applyAlignment="1"/>
    <xf numFmtId="0" fontId="13" fillId="0" borderId="2" xfId="0" applyFont="1" applyFill="1" applyBorder="1" applyAlignment="1"/>
    <xf numFmtId="0" fontId="17" fillId="4" borderId="3" xfId="0" applyFont="1" applyFill="1" applyBorder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13" fillId="0" borderId="1" xfId="0" applyFont="1" applyFill="1" applyBorder="1"/>
    <xf numFmtId="0" fontId="13" fillId="0" borderId="2" xfId="0" applyFont="1" applyFill="1" applyBorder="1"/>
    <xf numFmtId="0" fontId="14" fillId="0" borderId="1" xfId="0" applyFont="1" applyFill="1" applyBorder="1"/>
    <xf numFmtId="0" fontId="14" fillId="0" borderId="2" xfId="0" applyFont="1" applyFill="1" applyBorder="1"/>
    <xf numFmtId="0" fontId="13" fillId="0" borderId="8" xfId="0" applyFont="1" applyFill="1" applyBorder="1"/>
    <xf numFmtId="0" fontId="13" fillId="0" borderId="9" xfId="0" applyFont="1" applyFill="1" applyBorder="1"/>
    <xf numFmtId="0" fontId="14" fillId="0" borderId="1" xfId="0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18" fillId="4" borderId="5" xfId="0" applyNumberFormat="1" applyFont="1" applyFill="1" applyBorder="1" applyAlignment="1">
      <alignment horizontal="right" vertical="center"/>
    </xf>
    <xf numFmtId="0" fontId="18" fillId="4" borderId="4" xfId="0" applyFont="1" applyFill="1" applyBorder="1" applyAlignment="1">
      <alignment vertical="center"/>
    </xf>
    <xf numFmtId="0" fontId="18" fillId="4" borderId="3" xfId="0" applyFont="1" applyFill="1" applyBorder="1" applyAlignment="1">
      <alignment horizontal="right" vertical="center"/>
    </xf>
    <xf numFmtId="0" fontId="18" fillId="4" borderId="5" xfId="0" applyFont="1" applyFill="1" applyBorder="1" applyAlignment="1">
      <alignment horizontal="right" vertical="center"/>
    </xf>
    <xf numFmtId="3" fontId="18" fillId="5" borderId="5" xfId="0" applyNumberFormat="1" applyFont="1" applyFill="1" applyBorder="1" applyAlignment="1">
      <alignment horizontal="right" vertical="center"/>
    </xf>
    <xf numFmtId="0" fontId="18" fillId="5" borderId="12" xfId="0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right" vertical="center"/>
    </xf>
    <xf numFmtId="4" fontId="18" fillId="5" borderId="5" xfId="0" applyNumberFormat="1" applyFont="1" applyFill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3" fontId="13" fillId="0" borderId="2" xfId="0" applyNumberFormat="1" applyFont="1" applyFill="1" applyBorder="1"/>
    <xf numFmtId="4" fontId="18" fillId="0" borderId="0" xfId="0" applyNumberFormat="1" applyFont="1"/>
    <xf numFmtId="3" fontId="18" fillId="4" borderId="5" xfId="0" applyNumberFormat="1" applyFont="1" applyFill="1" applyBorder="1" applyAlignment="1">
      <alignment vertical="center"/>
    </xf>
    <xf numFmtId="0" fontId="18" fillId="3" borderId="16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vertical="center"/>
    </xf>
    <xf numFmtId="3" fontId="18" fillId="3" borderId="5" xfId="0" applyNumberFormat="1" applyFont="1" applyFill="1" applyBorder="1" applyAlignment="1">
      <alignment vertical="center"/>
    </xf>
    <xf numFmtId="4" fontId="18" fillId="5" borderId="5" xfId="0" applyNumberFormat="1" applyFont="1" applyFill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4" fillId="0" borderId="21" xfId="0" applyNumberFormat="1" applyFont="1" applyBorder="1" applyAlignment="1">
      <alignment horizontal="right"/>
    </xf>
    <xf numFmtId="3" fontId="14" fillId="0" borderId="22" xfId="0" applyNumberFormat="1" applyFont="1" applyBorder="1" applyAlignment="1">
      <alignment horizontal="right"/>
    </xf>
    <xf numFmtId="3" fontId="13" fillId="0" borderId="22" xfId="0" applyNumberFormat="1" applyFont="1" applyFill="1" applyBorder="1" applyAlignment="1">
      <alignment horizontal="right"/>
    </xf>
    <xf numFmtId="3" fontId="14" fillId="0" borderId="23" xfId="0" applyNumberFormat="1" applyFont="1" applyBorder="1" applyAlignment="1">
      <alignment horizontal="right"/>
    </xf>
    <xf numFmtId="4" fontId="14" fillId="0" borderId="24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4" fontId="13" fillId="0" borderId="0" xfId="0" applyNumberFormat="1" applyFont="1" applyBorder="1" applyAlignment="1">
      <alignment horizontal="right"/>
    </xf>
    <xf numFmtId="4" fontId="13" fillId="0" borderId="25" xfId="0" applyNumberFormat="1" applyFont="1" applyBorder="1" applyAlignment="1">
      <alignment horizontal="right"/>
    </xf>
    <xf numFmtId="0" fontId="14" fillId="0" borderId="19" xfId="0" applyFont="1" applyBorder="1"/>
    <xf numFmtId="0" fontId="14" fillId="0" borderId="15" xfId="0" applyFont="1" applyBorder="1"/>
    <xf numFmtId="0" fontId="14" fillId="0" borderId="20" xfId="0" applyFont="1" applyBorder="1"/>
    <xf numFmtId="3" fontId="14" fillId="0" borderId="2" xfId="0" applyNumberFormat="1" applyFont="1" applyFill="1" applyBorder="1"/>
    <xf numFmtId="3" fontId="13" fillId="0" borderId="9" xfId="0" applyNumberFormat="1" applyFont="1" applyFill="1" applyBorder="1"/>
    <xf numFmtId="3" fontId="13" fillId="0" borderId="21" xfId="0" applyNumberFormat="1" applyFont="1" applyBorder="1"/>
    <xf numFmtId="3" fontId="13" fillId="0" borderId="22" xfId="0" applyNumberFormat="1" applyFont="1" applyBorder="1"/>
    <xf numFmtId="3" fontId="14" fillId="0" borderId="22" xfId="0" applyNumberFormat="1" applyFont="1" applyBorder="1"/>
    <xf numFmtId="3" fontId="13" fillId="0" borderId="22" xfId="0" applyNumberFormat="1" applyFont="1" applyFill="1" applyBorder="1"/>
    <xf numFmtId="3" fontId="13" fillId="0" borderId="26" xfId="0" applyNumberFormat="1" applyFont="1" applyBorder="1"/>
    <xf numFmtId="3" fontId="13" fillId="0" borderId="23" xfId="0" applyNumberFormat="1" applyFont="1" applyBorder="1"/>
    <xf numFmtId="4" fontId="13" fillId="0" borderId="24" xfId="0" applyNumberFormat="1" applyFont="1" applyBorder="1"/>
    <xf numFmtId="4" fontId="13" fillId="0" borderId="0" xfId="0" applyNumberFormat="1" applyFont="1" applyBorder="1"/>
    <xf numFmtId="4" fontId="14" fillId="0" borderId="0" xfId="0" applyNumberFormat="1" applyFont="1" applyBorder="1"/>
    <xf numFmtId="4" fontId="13" fillId="0" borderId="10" xfId="0" applyNumberFormat="1" applyFont="1" applyBorder="1"/>
    <xf numFmtId="4" fontId="13" fillId="0" borderId="25" xfId="0" applyNumberFormat="1" applyFont="1" applyBorder="1"/>
    <xf numFmtId="0" fontId="18" fillId="4" borderId="5" xfId="0" applyFont="1" applyFill="1" applyBorder="1" applyAlignment="1">
      <alignment horizontal="center" vertical="center"/>
    </xf>
    <xf numFmtId="3" fontId="14" fillId="0" borderId="0" xfId="0" applyNumberFormat="1" applyFont="1"/>
    <xf numFmtId="3" fontId="18" fillId="5" borderId="5" xfId="0" applyNumberFormat="1" applyFont="1" applyFill="1" applyBorder="1" applyAlignment="1">
      <alignment horizont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3" borderId="5" xfId="0" applyNumberFormat="1" applyFont="1" applyFill="1" applyBorder="1" applyAlignment="1">
      <alignment horizontal="center"/>
    </xf>
    <xf numFmtId="0" fontId="14" fillId="6" borderId="15" xfId="0" applyFont="1" applyFill="1" applyBorder="1"/>
    <xf numFmtId="0" fontId="14" fillId="6" borderId="14" xfId="0" applyFont="1" applyFill="1" applyBorder="1"/>
    <xf numFmtId="0" fontId="14" fillId="0" borderId="0" xfId="0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/>
    <xf numFmtId="4" fontId="14" fillId="0" borderId="0" xfId="0" applyNumberFormat="1" applyFo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3" fontId="14" fillId="7" borderId="0" xfId="0" applyNumberFormat="1" applyFont="1" applyFill="1" applyAlignment="1">
      <alignment horizontal="center"/>
    </xf>
    <xf numFmtId="3" fontId="13" fillId="7" borderId="0" xfId="0" applyNumberFormat="1" applyFont="1" applyFill="1" applyAlignment="1">
      <alignment horizontal="center"/>
    </xf>
    <xf numFmtId="3" fontId="14" fillId="7" borderId="0" xfId="0" applyNumberFormat="1" applyFont="1" applyFill="1"/>
    <xf numFmtId="3" fontId="13" fillId="7" borderId="27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Fill="1" applyBorder="1"/>
    <xf numFmtId="0" fontId="14" fillId="0" borderId="0" xfId="0" applyFont="1" applyAlignment="1">
      <alignment vertical="center"/>
    </xf>
    <xf numFmtId="3" fontId="14" fillId="0" borderId="22" xfId="0" applyNumberFormat="1" applyFont="1" applyFill="1" applyBorder="1" applyAlignment="1">
      <alignment horizontal="right"/>
    </xf>
    <xf numFmtId="0" fontId="14" fillId="0" borderId="22" xfId="0" applyFont="1" applyFill="1" applyBorder="1"/>
    <xf numFmtId="3" fontId="14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4" fillId="0" borderId="22" xfId="0" applyFont="1" applyFill="1" applyBorder="1" applyAlignment="1"/>
    <xf numFmtId="0" fontId="13" fillId="0" borderId="22" xfId="0" applyFont="1" applyFill="1" applyBorder="1" applyAlignment="1"/>
    <xf numFmtId="3" fontId="14" fillId="0" borderId="22" xfId="0" applyNumberFormat="1" applyFont="1" applyFill="1" applyBorder="1" applyAlignment="1">
      <alignment horizontal="center"/>
    </xf>
    <xf numFmtId="3" fontId="13" fillId="0" borderId="22" xfId="0" applyNumberFormat="1" applyFont="1" applyFill="1" applyBorder="1" applyAlignment="1">
      <alignment horizontal="center"/>
    </xf>
    <xf numFmtId="0" fontId="22" fillId="4" borderId="28" xfId="0" applyFont="1" applyFill="1" applyBorder="1" applyAlignment="1">
      <alignment horizontal="right" vertical="center"/>
    </xf>
    <xf numFmtId="0" fontId="22" fillId="4" borderId="28" xfId="0" applyFont="1" applyFill="1" applyBorder="1" applyAlignment="1">
      <alignment vertical="center"/>
    </xf>
    <xf numFmtId="0" fontId="13" fillId="0" borderId="22" xfId="0" applyFont="1" applyFill="1" applyBorder="1"/>
    <xf numFmtId="0" fontId="14" fillId="0" borderId="22" xfId="0" applyFont="1" applyFill="1" applyBorder="1" applyAlignment="1">
      <alignment horizontal="right"/>
    </xf>
    <xf numFmtId="0" fontId="22" fillId="3" borderId="28" xfId="0" applyFont="1" applyFill="1" applyBorder="1" applyAlignment="1">
      <alignment horizontal="right" vertical="center"/>
    </xf>
    <xf numFmtId="0" fontId="22" fillId="3" borderId="28" xfId="0" applyFont="1" applyFill="1" applyBorder="1" applyAlignment="1">
      <alignment vertical="center"/>
    </xf>
    <xf numFmtId="0" fontId="14" fillId="0" borderId="10" xfId="0" applyFont="1" applyFill="1" applyBorder="1"/>
    <xf numFmtId="0" fontId="14" fillId="0" borderId="0" xfId="0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4" fontId="14" fillId="0" borderId="22" xfId="0" applyNumberFormat="1" applyFont="1" applyFill="1" applyBorder="1" applyAlignment="1">
      <alignment horizontal="center"/>
    </xf>
    <xf numFmtId="4" fontId="13" fillId="0" borderId="22" xfId="0" applyNumberFormat="1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3" fontId="22" fillId="0" borderId="28" xfId="0" applyNumberFormat="1" applyFont="1" applyFill="1" applyBorder="1" applyAlignment="1">
      <alignment horizontal="center" vertical="center"/>
    </xf>
    <xf numFmtId="0" fontId="23" fillId="0" borderId="30" xfId="0" applyFont="1" applyFill="1" applyBorder="1"/>
    <xf numFmtId="3" fontId="22" fillId="8" borderId="28" xfId="0" applyNumberFormat="1" applyFont="1" applyFill="1" applyBorder="1" applyAlignment="1">
      <alignment horizontal="right" vertical="center"/>
    </xf>
    <xf numFmtId="3" fontId="22" fillId="3" borderId="28" xfId="0" applyNumberFormat="1" applyFont="1" applyFill="1" applyBorder="1" applyAlignment="1">
      <alignment horizontal="right" vertical="center"/>
    </xf>
    <xf numFmtId="0" fontId="22" fillId="0" borderId="28" xfId="0" applyFont="1" applyBorder="1" applyAlignment="1">
      <alignment horizontal="center" vertical="center"/>
    </xf>
    <xf numFmtId="4" fontId="22" fillId="0" borderId="28" xfId="0" applyNumberFormat="1" applyFont="1" applyFill="1" applyBorder="1" applyAlignment="1">
      <alignment horizontal="center" vertical="center"/>
    </xf>
    <xf numFmtId="4" fontId="14" fillId="0" borderId="29" xfId="0" applyNumberFormat="1" applyFont="1" applyFill="1" applyBorder="1" applyAlignment="1">
      <alignment horizontal="center"/>
    </xf>
    <xf numFmtId="4" fontId="14" fillId="0" borderId="26" xfId="0" applyNumberFormat="1" applyFont="1" applyFill="1" applyBorder="1" applyAlignment="1">
      <alignment horizontal="center"/>
    </xf>
    <xf numFmtId="0" fontId="17" fillId="0" borderId="31" xfId="0" applyFont="1" applyBorder="1"/>
    <xf numFmtId="3" fontId="17" fillId="0" borderId="32" xfId="0" applyNumberFormat="1" applyFont="1" applyBorder="1"/>
    <xf numFmtId="0" fontId="17" fillId="0" borderId="2" xfId="0" applyFont="1" applyBorder="1"/>
    <xf numFmtId="3" fontId="17" fillId="0" borderId="33" xfId="0" applyNumberFormat="1" applyFont="1" applyBorder="1"/>
    <xf numFmtId="0" fontId="17" fillId="0" borderId="9" xfId="0" applyFont="1" applyBorder="1" applyAlignment="1">
      <alignment vertical="center" wrapText="1"/>
    </xf>
    <xf numFmtId="3" fontId="17" fillId="0" borderId="34" xfId="0" applyNumberFormat="1" applyFont="1" applyBorder="1"/>
    <xf numFmtId="0" fontId="14" fillId="0" borderId="29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22" fillId="4" borderId="26" xfId="0" applyFont="1" applyFill="1" applyBorder="1" applyAlignment="1">
      <alignment horizontal="right" vertical="center"/>
    </xf>
    <xf numFmtId="0" fontId="22" fillId="4" borderId="26" xfId="0" applyFont="1" applyFill="1" applyBorder="1" applyAlignment="1">
      <alignment vertical="center"/>
    </xf>
    <xf numFmtId="0" fontId="22" fillId="0" borderId="26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0" xfId="0" applyFont="1" applyBorder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 applyFill="1" applyBorder="1" applyAlignment="1"/>
    <xf numFmtId="0" fontId="22" fillId="0" borderId="10" xfId="0" applyFont="1" applyBorder="1"/>
    <xf numFmtId="0" fontId="22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/>
    <xf numFmtId="0" fontId="23" fillId="0" borderId="10" xfId="0" applyFont="1" applyFill="1" applyBorder="1" applyAlignme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4" borderId="28" xfId="0" applyFont="1" applyFill="1" applyBorder="1" applyAlignment="1">
      <alignment horizontal="right" vertical="center"/>
    </xf>
    <xf numFmtId="0" fontId="26" fillId="4" borderId="28" xfId="0" applyFont="1" applyFill="1" applyBorder="1" applyAlignment="1">
      <alignment vertical="center"/>
    </xf>
    <xf numFmtId="0" fontId="26" fillId="4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5" fillId="0" borderId="22" xfId="0" applyFont="1" applyFill="1" applyBorder="1" applyAlignment="1"/>
    <xf numFmtId="3" fontId="25" fillId="0" borderId="22" xfId="0" applyNumberFormat="1" applyFont="1" applyFill="1" applyBorder="1" applyAlignment="1">
      <alignment horizontal="center"/>
    </xf>
    <xf numFmtId="3" fontId="25" fillId="0" borderId="0" xfId="0" applyNumberFormat="1" applyFont="1"/>
    <xf numFmtId="0" fontId="25" fillId="0" borderId="0" xfId="0" applyFont="1" applyAlignment="1">
      <alignment horizontal="center"/>
    </xf>
    <xf numFmtId="4" fontId="27" fillId="0" borderId="0" xfId="0" applyNumberFormat="1" applyFont="1" applyAlignment="1">
      <alignment horizontal="center"/>
    </xf>
    <xf numFmtId="4" fontId="25" fillId="0" borderId="0" xfId="0" applyNumberFormat="1" applyFont="1"/>
    <xf numFmtId="0" fontId="28" fillId="0" borderId="22" xfId="0" applyFont="1" applyFill="1" applyBorder="1" applyAlignment="1"/>
    <xf numFmtId="3" fontId="28" fillId="0" borderId="22" xfId="0" applyNumberFormat="1" applyFont="1" applyFill="1" applyBorder="1" applyAlignment="1">
      <alignment horizontal="center"/>
    </xf>
    <xf numFmtId="14" fontId="25" fillId="0" borderId="0" xfId="0" applyNumberFormat="1" applyFont="1"/>
    <xf numFmtId="0" fontId="25" fillId="0" borderId="0" xfId="0" applyFont="1" applyFill="1"/>
    <xf numFmtId="3" fontId="26" fillId="4" borderId="28" xfId="0" applyNumberFormat="1" applyFont="1" applyFill="1" applyBorder="1" applyAlignment="1">
      <alignment horizontal="center" vertical="center"/>
    </xf>
    <xf numFmtId="0" fontId="24" fillId="0" borderId="0" xfId="0" applyFont="1" applyBorder="1"/>
    <xf numFmtId="0" fontId="28" fillId="0" borderId="0" xfId="0" applyFont="1" applyBorder="1"/>
    <xf numFmtId="0" fontId="25" fillId="0" borderId="0" xfId="0" applyFont="1" applyFill="1" applyBorder="1" applyAlignment="1">
      <alignment horizontal="right"/>
    </xf>
    <xf numFmtId="0" fontId="28" fillId="0" borderId="22" xfId="0" applyFont="1" applyFill="1" applyBorder="1"/>
    <xf numFmtId="0" fontId="28" fillId="0" borderId="2" xfId="0" applyFont="1" applyFill="1" applyBorder="1"/>
    <xf numFmtId="3" fontId="28" fillId="0" borderId="29" xfId="0" applyNumberFormat="1" applyFont="1" applyFill="1" applyBorder="1" applyAlignment="1">
      <alignment horizontal="center"/>
    </xf>
    <xf numFmtId="0" fontId="25" fillId="0" borderId="22" xfId="0" applyFont="1" applyFill="1" applyBorder="1"/>
    <xf numFmtId="0" fontId="25" fillId="0" borderId="2" xfId="0" applyFont="1" applyFill="1" applyBorder="1"/>
    <xf numFmtId="0" fontId="25" fillId="0" borderId="0" xfId="0" applyFont="1" applyFill="1" applyAlignment="1">
      <alignment horizontal="center"/>
    </xf>
    <xf numFmtId="0" fontId="25" fillId="0" borderId="22" xfId="0" applyFont="1" applyFill="1" applyBorder="1" applyAlignment="1">
      <alignment horizontal="right"/>
    </xf>
    <xf numFmtId="3" fontId="28" fillId="0" borderId="26" xfId="0" applyNumberFormat="1" applyFont="1" applyFill="1" applyBorder="1" applyAlignment="1">
      <alignment horizontal="center"/>
    </xf>
    <xf numFmtId="0" fontId="29" fillId="4" borderId="28" xfId="0" applyFont="1" applyFill="1" applyBorder="1" applyAlignment="1">
      <alignment horizontal="right" vertical="center"/>
    </xf>
    <xf numFmtId="0" fontId="26" fillId="3" borderId="28" xfId="0" applyFont="1" applyFill="1" applyBorder="1" applyAlignment="1">
      <alignment horizontal="right" vertical="center"/>
    </xf>
    <xf numFmtId="0" fontId="26" fillId="3" borderId="28" xfId="0" applyFont="1" applyFill="1" applyBorder="1" applyAlignment="1">
      <alignment vertical="center"/>
    </xf>
    <xf numFmtId="3" fontId="26" fillId="3" borderId="28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5" fillId="0" borderId="0" xfId="0" applyFont="1" applyFill="1" applyBorder="1"/>
    <xf numFmtId="0" fontId="25" fillId="0" borderId="0" xfId="0" applyFont="1" applyAlignment="1">
      <alignment horizontal="left"/>
    </xf>
    <xf numFmtId="3" fontId="25" fillId="0" borderId="0" xfId="0" applyNumberFormat="1" applyFont="1" applyAlignment="1">
      <alignment horizontal="right"/>
    </xf>
    <xf numFmtId="0" fontId="14" fillId="0" borderId="29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167" fontId="25" fillId="0" borderId="22" xfId="0" applyNumberFormat="1" applyFont="1" applyFill="1" applyBorder="1" applyAlignment="1">
      <alignment horizontal="center"/>
    </xf>
    <xf numFmtId="167" fontId="28" fillId="0" borderId="22" xfId="0" applyNumberFormat="1" applyFont="1" applyFill="1" applyBorder="1" applyAlignment="1">
      <alignment horizontal="center"/>
    </xf>
    <xf numFmtId="4" fontId="26" fillId="4" borderId="28" xfId="0" applyNumberFormat="1" applyFont="1" applyFill="1" applyBorder="1" applyAlignment="1">
      <alignment horizontal="center" vertical="center"/>
    </xf>
    <xf numFmtId="4" fontId="28" fillId="0" borderId="29" xfId="0" applyNumberFormat="1" applyFont="1" applyFill="1" applyBorder="1" applyAlignment="1">
      <alignment horizontal="center"/>
    </xf>
    <xf numFmtId="4" fontId="28" fillId="0" borderId="22" xfId="0" applyNumberFormat="1" applyFont="1" applyFill="1" applyBorder="1" applyAlignment="1">
      <alignment horizontal="center"/>
    </xf>
    <xf numFmtId="4" fontId="25" fillId="0" borderId="22" xfId="0" applyNumberFormat="1" applyFont="1" applyFill="1" applyBorder="1" applyAlignment="1">
      <alignment horizontal="center"/>
    </xf>
    <xf numFmtId="4" fontId="28" fillId="0" borderId="26" xfId="0" applyNumberFormat="1" applyFont="1" applyFill="1" applyBorder="1" applyAlignment="1">
      <alignment horizontal="center"/>
    </xf>
    <xf numFmtId="4" fontId="26" fillId="3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workbookViewId="0">
      <selection activeCell="H24" sqref="H24"/>
    </sheetView>
  </sheetViews>
  <sheetFormatPr defaultRowHeight="12.75" x14ac:dyDescent="0.2"/>
  <cols>
    <col min="1" max="2" width="9.140625" style="3"/>
    <col min="3" max="3" width="15.7109375" style="3" bestFit="1" customWidth="1"/>
    <col min="4" max="4" width="44.42578125" style="3" bestFit="1" customWidth="1"/>
    <col min="5" max="6" width="11.7109375" style="3" bestFit="1" customWidth="1"/>
    <col min="7" max="7" width="12.42578125" style="3" bestFit="1" customWidth="1"/>
    <col min="8" max="8" width="10.140625" style="3" bestFit="1" customWidth="1"/>
    <col min="9" max="16384" width="9.140625" style="3"/>
  </cols>
  <sheetData>
    <row r="3" spans="2:8" x14ac:dyDescent="0.2">
      <c r="E3" s="9" t="s">
        <v>3</v>
      </c>
      <c r="F3" s="9">
        <v>7.7</v>
      </c>
    </row>
    <row r="4" spans="2:8" x14ac:dyDescent="0.2">
      <c r="D4" s="3" t="s">
        <v>2</v>
      </c>
      <c r="E4" s="9" t="s">
        <v>1</v>
      </c>
      <c r="F4" s="3" t="s">
        <v>7</v>
      </c>
      <c r="G4" s="3" t="s">
        <v>8</v>
      </c>
    </row>
    <row r="5" spans="2:8" x14ac:dyDescent="0.2">
      <c r="B5" s="3">
        <v>1</v>
      </c>
      <c r="C5" s="3" t="s">
        <v>0</v>
      </c>
      <c r="D5" s="4">
        <v>550000</v>
      </c>
      <c r="E5" s="4">
        <f>+D5*F3</f>
        <v>4235000</v>
      </c>
      <c r="F5" s="4">
        <f>+E5*1.25</f>
        <v>5293750</v>
      </c>
      <c r="G5" s="4">
        <f>+F5-E5</f>
        <v>1058750</v>
      </c>
      <c r="H5" s="4"/>
    </row>
    <row r="6" spans="2:8" x14ac:dyDescent="0.2">
      <c r="C6" s="3" t="s">
        <v>4</v>
      </c>
      <c r="D6" s="19">
        <v>299022.4640160558</v>
      </c>
      <c r="E6" s="4"/>
      <c r="F6" s="4"/>
      <c r="G6" s="4"/>
      <c r="H6" s="4"/>
    </row>
    <row r="7" spans="2:8" x14ac:dyDescent="0.2">
      <c r="D7" s="19"/>
      <c r="E7" s="4">
        <v>1949490.2602712987</v>
      </c>
      <c r="F7" s="4">
        <f>+E7*1.25</f>
        <v>2436862.8253391236</v>
      </c>
      <c r="G7" s="4">
        <f>+F7-E7</f>
        <v>487372.56506782491</v>
      </c>
      <c r="H7" s="4"/>
    </row>
    <row r="8" spans="2:8" x14ac:dyDescent="0.2">
      <c r="C8" s="3" t="s">
        <v>5</v>
      </c>
      <c r="D8" s="4"/>
      <c r="E8" s="4"/>
      <c r="F8" s="4"/>
      <c r="G8" s="4"/>
      <c r="H8" s="4"/>
    </row>
    <row r="9" spans="2:8" x14ac:dyDescent="0.2">
      <c r="C9" s="3" t="s">
        <v>6</v>
      </c>
      <c r="D9" s="4">
        <v>700000</v>
      </c>
      <c r="E9" s="4">
        <f>+D9*F3</f>
        <v>5390000</v>
      </c>
      <c r="F9" s="4">
        <f>+E9*1.25</f>
        <v>6737500</v>
      </c>
      <c r="G9" s="4">
        <f>+F9-E9</f>
        <v>1347500</v>
      </c>
      <c r="H9" s="4"/>
    </row>
    <row r="10" spans="2:8" x14ac:dyDescent="0.2">
      <c r="C10" s="3" t="s">
        <v>9</v>
      </c>
      <c r="D10" s="4"/>
      <c r="E10" s="4">
        <f>67246.7+100000</f>
        <v>167246.70000000001</v>
      </c>
      <c r="F10" s="4">
        <f>+E10*1.25</f>
        <v>209058.375</v>
      </c>
      <c r="G10" s="4">
        <f>+F10-E10</f>
        <v>41811.674999999988</v>
      </c>
      <c r="H10" s="4"/>
    </row>
    <row r="11" spans="2:8" x14ac:dyDescent="0.2">
      <c r="D11" s="4"/>
      <c r="E11" s="4"/>
      <c r="F11" s="4"/>
      <c r="G11" s="4"/>
      <c r="H11" s="4"/>
    </row>
    <row r="12" spans="2:8" x14ac:dyDescent="0.2">
      <c r="D12" s="4"/>
      <c r="E12" s="4"/>
      <c r="F12" s="4"/>
      <c r="G12" s="4"/>
      <c r="H12" s="4"/>
    </row>
    <row r="13" spans="2:8" x14ac:dyDescent="0.2">
      <c r="D13" s="4"/>
      <c r="E13" s="4"/>
      <c r="F13" s="4"/>
      <c r="G13" s="4"/>
      <c r="H13" s="4"/>
    </row>
    <row r="14" spans="2:8" x14ac:dyDescent="0.2">
      <c r="D14" s="4"/>
      <c r="E14" s="4"/>
      <c r="F14" s="4"/>
      <c r="G14" s="4"/>
      <c r="H14" s="4"/>
    </row>
    <row r="15" spans="2:8" x14ac:dyDescent="0.2">
      <c r="D15" s="4"/>
      <c r="E15" s="4"/>
      <c r="F15" s="4"/>
      <c r="G15" s="4"/>
      <c r="H1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77"/>
  <sheetViews>
    <sheetView workbookViewId="0">
      <selection activeCell="D76" sqref="D76"/>
    </sheetView>
  </sheetViews>
  <sheetFormatPr defaultRowHeight="12.75" x14ac:dyDescent="0.2"/>
  <cols>
    <col min="1" max="1" width="9.140625" style="3"/>
    <col min="2" max="2" width="27" style="3" bestFit="1" customWidth="1"/>
    <col min="3" max="3" width="27" style="3" customWidth="1"/>
    <col min="4" max="4" width="16.42578125" style="3" bestFit="1" customWidth="1"/>
    <col min="5" max="5" width="15.42578125" style="3" bestFit="1" customWidth="1"/>
    <col min="6" max="6" width="16.42578125" style="3" bestFit="1" customWidth="1"/>
    <col min="7" max="7" width="14.5703125" style="3" bestFit="1" customWidth="1"/>
    <col min="8" max="8" width="13.7109375" style="3" bestFit="1" customWidth="1"/>
    <col min="9" max="9" width="11.140625" style="3" bestFit="1" customWidth="1"/>
    <col min="10" max="12" width="9.140625" style="3"/>
    <col min="13" max="13" width="10.5703125" style="3" bestFit="1" customWidth="1"/>
    <col min="14" max="14" width="9.140625" style="3"/>
    <col min="15" max="15" width="10.85546875" style="3" bestFit="1" customWidth="1"/>
    <col min="16" max="16384" width="9.140625" style="3"/>
  </cols>
  <sheetData>
    <row r="4" spans="1:5" x14ac:dyDescent="0.2">
      <c r="A4" s="3">
        <v>1</v>
      </c>
      <c r="B4" s="3" t="s">
        <v>11</v>
      </c>
      <c r="C4" s="9" t="s">
        <v>14</v>
      </c>
    </row>
    <row r="5" spans="1:5" x14ac:dyDescent="0.2">
      <c r="B5" s="3" t="s">
        <v>10</v>
      </c>
      <c r="C5" s="4">
        <v>7500000</v>
      </c>
      <c r="D5" s="4">
        <f>C5*1.25*300/36000</f>
        <v>78125</v>
      </c>
      <c r="E5" s="4"/>
    </row>
    <row r="6" spans="1:5" x14ac:dyDescent="0.2">
      <c r="B6" s="3" t="s">
        <v>12</v>
      </c>
      <c r="C6" s="4">
        <v>8000000</v>
      </c>
      <c r="D6" s="4">
        <f>8000000*1.9*90/36000</f>
        <v>38000</v>
      </c>
      <c r="E6" s="4"/>
    </row>
    <row r="7" spans="1:5" x14ac:dyDescent="0.2">
      <c r="B7" s="3" t="s">
        <v>13</v>
      </c>
      <c r="C7" s="4">
        <f>410000*7.65</f>
        <v>3136500</v>
      </c>
      <c r="D7" s="4">
        <f>410000*7.65*1.5*90/36000</f>
        <v>11761.875</v>
      </c>
      <c r="E7" s="4"/>
    </row>
    <row r="8" spans="1:5" x14ac:dyDescent="0.2">
      <c r="B8" s="3" t="s">
        <v>12</v>
      </c>
      <c r="C8" s="4">
        <v>8000000</v>
      </c>
      <c r="D8" s="4">
        <f>90*1.6*C8/36000</f>
        <v>32000</v>
      </c>
      <c r="E8" s="4"/>
    </row>
    <row r="9" spans="1:5" x14ac:dyDescent="0.2">
      <c r="B9" s="3" t="s">
        <v>12</v>
      </c>
      <c r="C9" s="4">
        <v>8000000</v>
      </c>
      <c r="D9" s="4">
        <f>+C9*90*1.5/36000</f>
        <v>30000</v>
      </c>
      <c r="E9" s="4"/>
    </row>
    <row r="10" spans="1:5" x14ac:dyDescent="0.2">
      <c r="B10" s="3" t="s">
        <v>13</v>
      </c>
      <c r="C10" s="4">
        <f>410000*7.65</f>
        <v>3136500</v>
      </c>
      <c r="D10" s="4">
        <f>410000*7.65*1.4*90/36000</f>
        <v>10977.75</v>
      </c>
      <c r="E10" s="4"/>
    </row>
    <row r="11" spans="1:5" x14ac:dyDescent="0.2">
      <c r="B11" s="3" t="s">
        <v>13</v>
      </c>
      <c r="C11" s="4">
        <f>410000*7.65</f>
        <v>3136500</v>
      </c>
      <c r="D11" s="4">
        <f>410000*7.65*1.3*180/36000</f>
        <v>20387.25</v>
      </c>
      <c r="E11" s="4"/>
    </row>
    <row r="12" spans="1:5" x14ac:dyDescent="0.2">
      <c r="B12" s="3" t="s">
        <v>12</v>
      </c>
      <c r="C12" s="4">
        <v>8000000</v>
      </c>
      <c r="D12" s="4">
        <f>+C12*90*1.5/36000</f>
        <v>30000</v>
      </c>
      <c r="E12" s="4"/>
    </row>
    <row r="13" spans="1:5" x14ac:dyDescent="0.2">
      <c r="B13" s="3" t="s">
        <v>12</v>
      </c>
      <c r="C13" s="4">
        <f>8000000+8000000</f>
        <v>16000000</v>
      </c>
      <c r="D13" s="4">
        <f>+C13*180*1.4/36000</f>
        <v>111999.99999999999</v>
      </c>
      <c r="E13" s="4"/>
    </row>
    <row r="14" spans="1:5" x14ac:dyDescent="0.2">
      <c r="B14" s="3" t="s">
        <v>15</v>
      </c>
      <c r="C14" s="4">
        <f>200000*7.65</f>
        <v>1530000</v>
      </c>
      <c r="D14" s="4">
        <f>+C14*1*300/36000</f>
        <v>12750</v>
      </c>
      <c r="E14" s="4"/>
    </row>
    <row r="15" spans="1:5" x14ac:dyDescent="0.2">
      <c r="C15" s="4"/>
      <c r="D15" s="4"/>
      <c r="E15" s="4"/>
    </row>
    <row r="16" spans="1:5" x14ac:dyDescent="0.2">
      <c r="C16" s="4"/>
      <c r="D16" s="4"/>
      <c r="E16" s="4"/>
    </row>
    <row r="17" spans="2:15" x14ac:dyDescent="0.2">
      <c r="C17" s="4"/>
      <c r="D17" s="4"/>
      <c r="E17" s="4"/>
    </row>
    <row r="18" spans="2:15" x14ac:dyDescent="0.2">
      <c r="C18" s="4"/>
      <c r="D18" s="4"/>
      <c r="E18" s="4"/>
    </row>
    <row r="19" spans="2:15" x14ac:dyDescent="0.2">
      <c r="C19" s="4"/>
      <c r="D19" s="4">
        <f>SUM(D5:D14)</f>
        <v>376001.875</v>
      </c>
      <c r="E19" s="4"/>
    </row>
    <row r="20" spans="2:15" x14ac:dyDescent="0.2">
      <c r="C20" s="4"/>
      <c r="D20" s="4"/>
      <c r="E20" s="4"/>
    </row>
    <row r="21" spans="2:15" x14ac:dyDescent="0.2">
      <c r="C21" s="4"/>
      <c r="D21" s="4"/>
      <c r="E21" s="4"/>
    </row>
    <row r="22" spans="2:15" x14ac:dyDescent="0.2">
      <c r="B22" s="3" t="s">
        <v>16</v>
      </c>
      <c r="D22" s="4"/>
      <c r="E22" s="4"/>
    </row>
    <row r="23" spans="2:15" x14ac:dyDescent="0.2">
      <c r="B23" s="3" t="s">
        <v>17</v>
      </c>
      <c r="D23" s="4"/>
      <c r="E23" s="4"/>
    </row>
    <row r="24" spans="2:15" x14ac:dyDescent="0.2">
      <c r="B24" s="3" t="s">
        <v>18</v>
      </c>
      <c r="D24" s="4"/>
      <c r="E24" s="4"/>
      <c r="F24" s="4">
        <f>+C31+C41</f>
        <v>144766542.31999999</v>
      </c>
    </row>
    <row r="25" spans="2:15" x14ac:dyDescent="0.2">
      <c r="D25" s="4"/>
      <c r="E25" s="4"/>
    </row>
    <row r="26" spans="2:15" x14ac:dyDescent="0.2">
      <c r="D26" s="4"/>
      <c r="E26" s="4"/>
    </row>
    <row r="28" spans="2:15" x14ac:dyDescent="0.2">
      <c r="D28" s="3" t="s">
        <v>21</v>
      </c>
      <c r="E28" s="3" t="s">
        <v>75</v>
      </c>
      <c r="F28" s="3" t="s">
        <v>22</v>
      </c>
      <c r="G28" s="3" t="s">
        <v>23</v>
      </c>
      <c r="H28" s="3" t="s">
        <v>26</v>
      </c>
    </row>
    <row r="29" spans="2:15" x14ac:dyDescent="0.2">
      <c r="D29" s="3">
        <v>7.6614709999999997</v>
      </c>
      <c r="E29" s="3">
        <v>7.7</v>
      </c>
      <c r="F29" s="3">
        <v>7.71</v>
      </c>
      <c r="G29" s="3">
        <v>7.75</v>
      </c>
      <c r="I29" s="16">
        <f>+G29-E29</f>
        <v>4.9999999999999822E-2</v>
      </c>
    </row>
    <row r="30" spans="2:15" x14ac:dyDescent="0.2">
      <c r="B30" s="3" t="s">
        <v>19</v>
      </c>
      <c r="H30" s="9"/>
      <c r="I30" s="16">
        <f>+F29-E29</f>
        <v>9.9999999999997868E-3</v>
      </c>
    </row>
    <row r="31" spans="2:15" x14ac:dyDescent="0.2">
      <c r="B31" s="3" t="s">
        <v>20</v>
      </c>
      <c r="C31" s="12">
        <v>76385365.849999994</v>
      </c>
      <c r="D31" s="12">
        <f>+C31*D29</f>
        <v>585224265.28416526</v>
      </c>
      <c r="E31" s="12">
        <f>+C31*E29</f>
        <v>588167317.04499996</v>
      </c>
      <c r="F31" s="13"/>
      <c r="G31" s="13"/>
      <c r="H31" s="10">
        <f>+D31-E31</f>
        <v>-2943051.7608346939</v>
      </c>
      <c r="I31" s="18">
        <f>+H31+H41</f>
        <v>-5577710.1090473533</v>
      </c>
      <c r="J31" s="14" t="s">
        <v>76</v>
      </c>
      <c r="K31" s="14"/>
      <c r="L31" s="14"/>
      <c r="O31" s="4">
        <f>+B33+B34+B35</f>
        <v>331707.32</v>
      </c>
    </row>
    <row r="32" spans="2:15" x14ac:dyDescent="0.2">
      <c r="B32" s="3" t="s">
        <v>24</v>
      </c>
      <c r="C32" s="4"/>
      <c r="O32" s="4">
        <f>+B42+B44</f>
        <v>14117647.060000001</v>
      </c>
    </row>
    <row r="33" spans="2:13" x14ac:dyDescent="0.2">
      <c r="B33" s="4">
        <v>14634.15</v>
      </c>
      <c r="C33" s="4">
        <f>+B33*F29</f>
        <v>112829.2965</v>
      </c>
      <c r="D33" s="4"/>
      <c r="E33" s="4"/>
      <c r="F33" s="4"/>
      <c r="G33" s="4"/>
      <c r="H33" s="4"/>
    </row>
    <row r="34" spans="2:13" x14ac:dyDescent="0.2">
      <c r="B34" s="4">
        <v>14634.15</v>
      </c>
      <c r="C34" s="4">
        <f>+B34*F29</f>
        <v>112829.2965</v>
      </c>
      <c r="D34" s="4"/>
      <c r="E34" s="4"/>
      <c r="F34" s="4"/>
      <c r="G34" s="4"/>
      <c r="H34" s="4"/>
    </row>
    <row r="35" spans="2:13" x14ac:dyDescent="0.2">
      <c r="B35" s="4">
        <v>302439.02</v>
      </c>
      <c r="C35" s="4">
        <f>+B35*G29</f>
        <v>2343902.4050000003</v>
      </c>
      <c r="D35" s="4"/>
      <c r="E35" s="4"/>
      <c r="F35" s="4"/>
      <c r="G35" s="4"/>
      <c r="H35" s="4"/>
    </row>
    <row r="36" spans="2:13" x14ac:dyDescent="0.2">
      <c r="B36" s="4">
        <f>+C31-B33-B34-B35</f>
        <v>76053658.529999986</v>
      </c>
      <c r="C36" s="4">
        <f>+E31-C33-C34-C35</f>
        <v>585597756.04700005</v>
      </c>
      <c r="D36" s="4">
        <f>+B36*G29</f>
        <v>589415853.60749984</v>
      </c>
      <c r="E36" s="4"/>
      <c r="F36" s="4"/>
      <c r="G36" s="4"/>
      <c r="H36" s="17">
        <f>+C36-D36</f>
        <v>-3818097.5604997873</v>
      </c>
      <c r="I36" s="15" t="s">
        <v>77</v>
      </c>
      <c r="L36" s="15" t="s">
        <v>78</v>
      </c>
      <c r="M36" s="18">
        <f>+H36+H45</f>
        <v>-6994803.442799747</v>
      </c>
    </row>
    <row r="37" spans="2:13" x14ac:dyDescent="0.2">
      <c r="B37" s="4"/>
      <c r="C37" s="4"/>
      <c r="D37" s="4"/>
      <c r="E37" s="4"/>
      <c r="F37" s="4"/>
      <c r="G37" s="4"/>
      <c r="H37" s="4"/>
    </row>
    <row r="38" spans="2:13" x14ac:dyDescent="0.2">
      <c r="B38" s="4"/>
      <c r="C38" s="4"/>
      <c r="D38" s="4"/>
      <c r="E38" s="4"/>
      <c r="F38" s="4"/>
      <c r="G38" s="4"/>
      <c r="H38" s="4"/>
    </row>
    <row r="39" spans="2:13" x14ac:dyDescent="0.2">
      <c r="B39" s="4"/>
      <c r="C39" s="4"/>
      <c r="D39" s="4"/>
      <c r="E39" s="4"/>
      <c r="F39" s="4"/>
      <c r="G39" s="4"/>
      <c r="H39" s="10"/>
    </row>
    <row r="40" spans="2:13" x14ac:dyDescent="0.2">
      <c r="C40" s="4"/>
      <c r="D40" s="4"/>
      <c r="E40" s="4"/>
      <c r="F40" s="4"/>
      <c r="G40" s="4"/>
      <c r="H40" s="4"/>
    </row>
    <row r="41" spans="2:13" x14ac:dyDescent="0.2">
      <c r="B41" s="3" t="s">
        <v>25</v>
      </c>
      <c r="C41" s="12">
        <v>68381176.469999999</v>
      </c>
      <c r="D41" s="12">
        <f>+C41*D29</f>
        <v>523900400.47078735</v>
      </c>
      <c r="E41" s="12">
        <f>+C41*E29</f>
        <v>526535058.81900001</v>
      </c>
      <c r="F41" s="12"/>
      <c r="G41" s="12"/>
      <c r="H41" s="10">
        <f>+D41-E41</f>
        <v>-2634658.3482126594</v>
      </c>
      <c r="I41" s="14" t="s">
        <v>76</v>
      </c>
    </row>
    <row r="42" spans="2:13" x14ac:dyDescent="0.2">
      <c r="B42" s="4">
        <v>7058823.5300000003</v>
      </c>
      <c r="C42" s="4">
        <f>+B42*F29</f>
        <v>54423529.416299999</v>
      </c>
      <c r="D42" s="4">
        <f>+C42*D29</f>
        <v>416964292.34062934</v>
      </c>
      <c r="E42" s="4">
        <f>+C42*E29</f>
        <v>419061176.50550997</v>
      </c>
      <c r="F42" s="4"/>
      <c r="G42" s="4"/>
      <c r="H42" s="4"/>
    </row>
    <row r="43" spans="2:13" x14ac:dyDescent="0.2">
      <c r="B43" s="4">
        <v>1000000</v>
      </c>
      <c r="C43" s="4">
        <f>+B43*F29</f>
        <v>7710000</v>
      </c>
      <c r="D43" s="4"/>
      <c r="E43" s="4"/>
      <c r="F43" s="4"/>
      <c r="G43" s="4"/>
      <c r="H43" s="4"/>
    </row>
    <row r="44" spans="2:13" x14ac:dyDescent="0.2">
      <c r="B44" s="4">
        <v>7058823.5300000003</v>
      </c>
      <c r="C44" s="4">
        <f>+B44*G29</f>
        <v>54705882.357500002</v>
      </c>
      <c r="D44" s="4">
        <f>+C44*D29</f>
        <v>419127531.21139789</v>
      </c>
      <c r="E44" s="4"/>
      <c r="F44" s="4"/>
      <c r="G44" s="4"/>
      <c r="H44" s="4"/>
    </row>
    <row r="45" spans="2:13" x14ac:dyDescent="0.2">
      <c r="B45" s="4">
        <f>+C41-B42+B43-B44</f>
        <v>55263529.409999996</v>
      </c>
      <c r="C45" s="4">
        <f>+E41-C42+C43-C44</f>
        <v>425115647.04519999</v>
      </c>
      <c r="D45" s="4">
        <f>+B45*G29</f>
        <v>428292352.92749995</v>
      </c>
      <c r="E45" s="4"/>
      <c r="F45" s="4"/>
      <c r="G45" s="4"/>
      <c r="H45" s="17">
        <f>+C45-D45</f>
        <v>-3176705.8822999597</v>
      </c>
      <c r="I45" s="15" t="s">
        <v>77</v>
      </c>
    </row>
    <row r="46" spans="2:13" x14ac:dyDescent="0.2">
      <c r="C46" s="4"/>
      <c r="D46" s="4"/>
      <c r="E46" s="4"/>
      <c r="F46" s="4"/>
      <c r="G46" s="4"/>
      <c r="H46" s="4"/>
    </row>
    <row r="47" spans="2:13" x14ac:dyDescent="0.2">
      <c r="C47" s="4">
        <f>+E41-C42+C43-C44</f>
        <v>425115647.04519999</v>
      </c>
      <c r="D47" s="4"/>
      <c r="E47" s="4"/>
      <c r="F47" s="4"/>
      <c r="G47" s="4"/>
      <c r="H47" s="10"/>
    </row>
    <row r="48" spans="2:13" x14ac:dyDescent="0.2">
      <c r="C48" s="4">
        <f>+C41-B42+B43-B44</f>
        <v>55263529.409999996</v>
      </c>
    </row>
    <row r="49" spans="2:9" x14ac:dyDescent="0.2">
      <c r="C49" s="4"/>
    </row>
    <row r="50" spans="2:9" x14ac:dyDescent="0.2">
      <c r="C50" s="4"/>
    </row>
    <row r="51" spans="2:9" x14ac:dyDescent="0.2">
      <c r="C51" s="4"/>
      <c r="G51" s="10">
        <f>+G47+G39</f>
        <v>0</v>
      </c>
    </row>
    <row r="52" spans="2:9" x14ac:dyDescent="0.2">
      <c r="D52" s="3" t="s">
        <v>74</v>
      </c>
      <c r="E52" s="3" t="s">
        <v>22</v>
      </c>
      <c r="F52" s="3" t="s">
        <v>21</v>
      </c>
      <c r="G52" s="3" t="s">
        <v>26</v>
      </c>
    </row>
    <row r="53" spans="2:9" x14ac:dyDescent="0.2">
      <c r="D53" s="3">
        <v>7.6376429999999997</v>
      </c>
      <c r="E53" s="3">
        <v>7.7</v>
      </c>
      <c r="F53" s="3">
        <v>7.6614709999999997</v>
      </c>
      <c r="I53" s="15">
        <f>+F53-D53</f>
        <v>2.382799999999996E-2</v>
      </c>
    </row>
    <row r="54" spans="2:9" x14ac:dyDescent="0.2">
      <c r="B54" s="3" t="s">
        <v>19</v>
      </c>
      <c r="G54" s="9"/>
    </row>
    <row r="55" spans="2:9" x14ac:dyDescent="0.2">
      <c r="B55" s="3" t="s">
        <v>73</v>
      </c>
      <c r="C55" s="4">
        <v>66200000</v>
      </c>
      <c r="D55" s="3">
        <f>+C55*D53</f>
        <v>505611966.59999996</v>
      </c>
    </row>
    <row r="56" spans="2:9" x14ac:dyDescent="0.2">
      <c r="B56" s="3" t="s">
        <v>24</v>
      </c>
      <c r="C56" s="4"/>
    </row>
    <row r="57" spans="2:9" x14ac:dyDescent="0.2">
      <c r="B57" s="4">
        <v>14634.15</v>
      </c>
      <c r="C57" s="11">
        <v>7.6294209999999998</v>
      </c>
      <c r="D57" s="4">
        <f>+B57*C57</f>
        <v>111650.09132714999</v>
      </c>
      <c r="E57" s="4"/>
      <c r="F57" s="4">
        <f>+B57*F53</f>
        <v>112119.11583464999</v>
      </c>
      <c r="G57" s="4"/>
    </row>
    <row r="58" spans="2:9" x14ac:dyDescent="0.2">
      <c r="B58" s="4">
        <v>14634.15</v>
      </c>
      <c r="C58" s="11">
        <v>7.6403809999999996</v>
      </c>
      <c r="D58" s="4">
        <f>+B58*C58</f>
        <v>111810.48161115</v>
      </c>
      <c r="E58" s="4"/>
      <c r="F58" s="4">
        <f>+B58*F53</f>
        <v>112119.11583464999</v>
      </c>
      <c r="G58" s="4"/>
    </row>
    <row r="59" spans="2:9" x14ac:dyDescent="0.2">
      <c r="B59" s="4">
        <v>10200000</v>
      </c>
      <c r="C59" s="11">
        <v>7.610919</v>
      </c>
      <c r="D59" s="4">
        <f>+B59*C59</f>
        <v>77631373.799999997</v>
      </c>
      <c r="E59" s="4"/>
      <c r="F59" s="4">
        <f>+B59*F53</f>
        <v>78147004.200000003</v>
      </c>
      <c r="G59" s="4"/>
    </row>
    <row r="60" spans="2:9" x14ac:dyDescent="0.2">
      <c r="B60" s="4">
        <f>+B59+C55-B57-B58</f>
        <v>76370731.699999988</v>
      </c>
      <c r="C60" s="11"/>
      <c r="D60" s="4">
        <f>+D55-D57-D58+D59</f>
        <v>583019879.82706165</v>
      </c>
      <c r="E60" s="4"/>
      <c r="F60" s="4">
        <f>+F53*B60</f>
        <v>585112146.16833055</v>
      </c>
      <c r="G60" s="10">
        <f>+D60-F60</f>
        <v>-2092266.3412688971</v>
      </c>
    </row>
    <row r="61" spans="2:9" x14ac:dyDescent="0.2">
      <c r="B61" s="4"/>
      <c r="C61" s="4"/>
      <c r="D61" s="4"/>
      <c r="E61" s="4"/>
      <c r="F61" s="4"/>
      <c r="G61" s="4"/>
    </row>
    <row r="62" spans="2:9" x14ac:dyDescent="0.2">
      <c r="B62" s="4"/>
      <c r="C62" s="4"/>
      <c r="D62" s="4"/>
      <c r="E62" s="4"/>
      <c r="F62" s="4"/>
      <c r="G62" s="4"/>
    </row>
    <row r="63" spans="2:9" x14ac:dyDescent="0.2">
      <c r="B63" s="4"/>
      <c r="C63" s="4"/>
      <c r="D63" s="4"/>
      <c r="E63" s="4"/>
      <c r="F63" s="4"/>
      <c r="G63" s="4"/>
    </row>
    <row r="64" spans="2:9" x14ac:dyDescent="0.2">
      <c r="B64" s="4"/>
      <c r="C64" s="4"/>
      <c r="D64" s="4"/>
      <c r="E64" s="4"/>
      <c r="F64" s="4"/>
      <c r="G64" s="10"/>
    </row>
    <row r="65" spans="2:7" x14ac:dyDescent="0.2">
      <c r="C65" s="4"/>
      <c r="D65" s="4"/>
      <c r="E65" s="4"/>
      <c r="F65" s="4"/>
      <c r="G65" s="4"/>
    </row>
    <row r="66" spans="2:7" x14ac:dyDescent="0.2">
      <c r="B66" s="3" t="s">
        <v>25</v>
      </c>
      <c r="C66" s="4">
        <v>69440000</v>
      </c>
      <c r="D66" s="4">
        <f>+C66*D53</f>
        <v>530357929.91999996</v>
      </c>
      <c r="E66" s="4"/>
      <c r="F66" s="4"/>
      <c r="G66" s="4"/>
    </row>
    <row r="67" spans="2:7" x14ac:dyDescent="0.2">
      <c r="B67" s="4">
        <v>2300000</v>
      </c>
      <c r="C67" s="11">
        <v>7.6120469999999996</v>
      </c>
      <c r="D67" s="4">
        <f>+B67*C67</f>
        <v>17507708.099999998</v>
      </c>
      <c r="E67" s="4"/>
      <c r="F67" s="4">
        <f>+B67*F53</f>
        <v>17621383.300000001</v>
      </c>
      <c r="G67" s="4"/>
    </row>
    <row r="68" spans="2:7" x14ac:dyDescent="0.2">
      <c r="B68" s="4">
        <v>7058823.5300000003</v>
      </c>
      <c r="C68" s="11">
        <v>7.5677709999999996</v>
      </c>
      <c r="D68" s="4">
        <f>+B68*C68</f>
        <v>53419560.004451632</v>
      </c>
      <c r="E68" s="4"/>
      <c r="F68" s="4"/>
      <c r="G68" s="4"/>
    </row>
    <row r="69" spans="2:7" x14ac:dyDescent="0.2">
      <c r="B69" s="4">
        <v>3700000</v>
      </c>
      <c r="C69" s="11">
        <v>7.6077149999999998</v>
      </c>
      <c r="D69" s="4">
        <f>+B69*C69</f>
        <v>28148545.5</v>
      </c>
      <c r="E69" s="4"/>
      <c r="F69" s="4">
        <f>+B69*F53</f>
        <v>28347442.699999999</v>
      </c>
      <c r="G69" s="4"/>
    </row>
    <row r="70" spans="2:7" x14ac:dyDescent="0.2">
      <c r="B70" s="4">
        <v>7058823.5300000003</v>
      </c>
      <c r="C70" s="11">
        <v>7.6639860000000004</v>
      </c>
      <c r="D70" s="4">
        <f>+B70*C70</f>
        <v>54098724.710390583</v>
      </c>
      <c r="E70" s="4"/>
      <c r="F70" s="4"/>
      <c r="G70" s="4"/>
    </row>
    <row r="71" spans="2:7" x14ac:dyDescent="0.2">
      <c r="B71" s="4">
        <f>+C66+B67-B68+B69-B70</f>
        <v>61322352.939999998</v>
      </c>
      <c r="C71" s="4"/>
      <c r="D71" s="4">
        <f>+D66+D67-D68+D69-D70</f>
        <v>468495898.80515778</v>
      </c>
      <c r="E71" s="4"/>
      <c r="F71" s="4">
        <f>+B71*F53</f>
        <v>469819428.70157468</v>
      </c>
      <c r="G71" s="10">
        <f>+D71-F71</f>
        <v>-1323529.8964169025</v>
      </c>
    </row>
    <row r="72" spans="2:7" x14ac:dyDescent="0.2">
      <c r="C72" s="4"/>
      <c r="D72" s="4"/>
      <c r="E72" s="4"/>
      <c r="F72" s="4"/>
      <c r="G72" s="4"/>
    </row>
    <row r="73" spans="2:7" x14ac:dyDescent="0.2">
      <c r="C73" s="4"/>
      <c r="D73" s="4"/>
      <c r="E73" s="4"/>
      <c r="F73" s="4"/>
      <c r="G73" s="10">
        <f>+G60+G71</f>
        <v>-3415796.2376857996</v>
      </c>
    </row>
    <row r="74" spans="2:7" x14ac:dyDescent="0.2">
      <c r="C74" s="4"/>
    </row>
    <row r="75" spans="2:7" x14ac:dyDescent="0.2">
      <c r="C75" s="4"/>
    </row>
    <row r="76" spans="2:7" x14ac:dyDescent="0.2">
      <c r="C76" s="4"/>
    </row>
    <row r="77" spans="2:7" x14ac:dyDescent="0.2">
      <c r="C77" s="4"/>
      <c r="G77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82"/>
  <sheetViews>
    <sheetView topLeftCell="A16" workbookViewId="0">
      <selection activeCell="C28" sqref="C28"/>
    </sheetView>
  </sheetViews>
  <sheetFormatPr defaultRowHeight="12.75" x14ac:dyDescent="0.2"/>
  <cols>
    <col min="1" max="1" width="6" style="3" customWidth="1"/>
    <col min="2" max="2" width="43.85546875" style="3" bestFit="1" customWidth="1"/>
    <col min="3" max="3" width="13.140625" style="3" bestFit="1" customWidth="1"/>
    <col min="4" max="4" width="10" style="3" bestFit="1" customWidth="1"/>
    <col min="5" max="16384" width="9.140625" style="3"/>
  </cols>
  <sheetData>
    <row r="5" spans="1:4" x14ac:dyDescent="0.2">
      <c r="A5" s="3">
        <v>424</v>
      </c>
      <c r="B5" s="3" t="s">
        <v>27</v>
      </c>
    </row>
    <row r="6" spans="1:4" x14ac:dyDescent="0.2">
      <c r="B6" s="3" t="s">
        <v>143</v>
      </c>
      <c r="C6" s="5">
        <v>180000</v>
      </c>
    </row>
    <row r="7" spans="1:4" x14ac:dyDescent="0.2">
      <c r="C7" s="4"/>
    </row>
    <row r="8" spans="1:4" x14ac:dyDescent="0.2">
      <c r="A8" s="1">
        <v>4251</v>
      </c>
      <c r="B8" s="2" t="s">
        <v>28</v>
      </c>
      <c r="C8" s="5">
        <v>100000</v>
      </c>
    </row>
    <row r="9" spans="1:4" x14ac:dyDescent="0.2">
      <c r="B9" s="3" t="s">
        <v>29</v>
      </c>
      <c r="C9" s="4">
        <v>5000</v>
      </c>
      <c r="D9" s="4">
        <f>SUM(C9:C13)</f>
        <v>101200</v>
      </c>
    </row>
    <row r="10" spans="1:4" x14ac:dyDescent="0.2">
      <c r="B10" s="3" t="s">
        <v>30</v>
      </c>
      <c r="C10" s="4">
        <v>15000</v>
      </c>
    </row>
    <row r="11" spans="1:4" x14ac:dyDescent="0.2">
      <c r="B11" s="3" t="s">
        <v>31</v>
      </c>
      <c r="C11" s="4">
        <v>70000</v>
      </c>
    </row>
    <row r="12" spans="1:4" x14ac:dyDescent="0.2">
      <c r="B12" s="3" t="s">
        <v>33</v>
      </c>
      <c r="C12" s="4">
        <v>10000</v>
      </c>
    </row>
    <row r="13" spans="1:4" x14ac:dyDescent="0.2">
      <c r="B13" s="3" t="s">
        <v>36</v>
      </c>
      <c r="C13" s="4">
        <v>1200</v>
      </c>
    </row>
    <row r="14" spans="1:4" x14ac:dyDescent="0.2">
      <c r="C14" s="4"/>
    </row>
    <row r="15" spans="1:4" x14ac:dyDescent="0.2">
      <c r="C15" s="4"/>
    </row>
    <row r="16" spans="1:4" x14ac:dyDescent="0.2">
      <c r="A16" s="7">
        <v>4252</v>
      </c>
      <c r="B16" s="8" t="s">
        <v>34</v>
      </c>
      <c r="C16" s="5">
        <v>1700000</v>
      </c>
      <c r="D16" s="4">
        <f>SUM(C17:C24)</f>
        <v>1671000</v>
      </c>
    </row>
    <row r="17" spans="1:4" x14ac:dyDescent="0.2">
      <c r="B17" s="3" t="s">
        <v>35</v>
      </c>
      <c r="C17" s="4">
        <v>1000</v>
      </c>
    </row>
    <row r="18" spans="1:4" x14ac:dyDescent="0.2">
      <c r="B18" s="3" t="s">
        <v>37</v>
      </c>
      <c r="C18" s="4">
        <v>10000</v>
      </c>
    </row>
    <row r="19" spans="1:4" x14ac:dyDescent="0.2">
      <c r="B19" s="3" t="s">
        <v>54</v>
      </c>
      <c r="C19" s="4">
        <v>5000</v>
      </c>
    </row>
    <row r="20" spans="1:4" x14ac:dyDescent="0.2">
      <c r="B20" s="3" t="s">
        <v>38</v>
      </c>
      <c r="C20" s="4">
        <f>50000*1.25+70000*1.25</f>
        <v>150000</v>
      </c>
    </row>
    <row r="21" spans="1:4" x14ac:dyDescent="0.2">
      <c r="B21" s="3" t="s">
        <v>39</v>
      </c>
      <c r="C21" s="4">
        <v>40000</v>
      </c>
    </row>
    <row r="22" spans="1:4" x14ac:dyDescent="0.2">
      <c r="B22" s="3" t="s">
        <v>40</v>
      </c>
      <c r="C22" s="4">
        <v>25000</v>
      </c>
    </row>
    <row r="23" spans="1:4" x14ac:dyDescent="0.2">
      <c r="B23" s="3" t="s">
        <v>42</v>
      </c>
      <c r="C23" s="4">
        <v>40000</v>
      </c>
      <c r="D23" s="3">
        <f>30000*1.25</f>
        <v>37500</v>
      </c>
    </row>
    <row r="24" spans="1:4" x14ac:dyDescent="0.2">
      <c r="B24" s="3" t="s">
        <v>41</v>
      </c>
      <c r="C24" s="4">
        <v>1400000</v>
      </c>
    </row>
    <row r="25" spans="1:4" x14ac:dyDescent="0.2">
      <c r="C25" s="4"/>
    </row>
    <row r="26" spans="1:4" x14ac:dyDescent="0.2">
      <c r="C26" s="4"/>
    </row>
    <row r="27" spans="1:4" x14ac:dyDescent="0.2">
      <c r="A27" s="6">
        <v>4253</v>
      </c>
      <c r="B27" s="6" t="s">
        <v>32</v>
      </c>
      <c r="C27" s="5">
        <v>250000</v>
      </c>
      <c r="D27" s="4">
        <f>SUM(C28:C32)</f>
        <v>250000</v>
      </c>
    </row>
    <row r="28" spans="1:4" x14ac:dyDescent="0.2">
      <c r="B28" s="3" t="s">
        <v>43</v>
      </c>
      <c r="C28" s="4">
        <v>50000</v>
      </c>
    </row>
    <row r="29" spans="1:4" x14ac:dyDescent="0.2">
      <c r="B29" s="3" t="s">
        <v>152</v>
      </c>
      <c r="C29" s="4">
        <v>20000</v>
      </c>
    </row>
    <row r="30" spans="1:4" x14ac:dyDescent="0.2">
      <c r="B30" s="3" t="s">
        <v>44</v>
      </c>
      <c r="C30" s="4">
        <f>40000+60000</f>
        <v>100000</v>
      </c>
    </row>
    <row r="31" spans="1:4" x14ac:dyDescent="0.2">
      <c r="B31" s="3" t="s">
        <v>45</v>
      </c>
      <c r="C31" s="4">
        <v>20000</v>
      </c>
    </row>
    <row r="32" spans="1:4" ht="12" customHeight="1" x14ac:dyDescent="0.2">
      <c r="B32" s="3" t="s">
        <v>84</v>
      </c>
      <c r="C32" s="4">
        <f>30000+30000</f>
        <v>60000</v>
      </c>
    </row>
    <row r="33" spans="1:4" x14ac:dyDescent="0.2">
      <c r="C33" s="4"/>
    </row>
    <row r="34" spans="1:4" x14ac:dyDescent="0.2">
      <c r="C34" s="4"/>
    </row>
    <row r="35" spans="1:4" x14ac:dyDescent="0.2">
      <c r="A35" s="6">
        <v>4254</v>
      </c>
      <c r="B35" s="6" t="s">
        <v>46</v>
      </c>
      <c r="C35" s="5">
        <v>400000</v>
      </c>
      <c r="D35" s="4">
        <f>SUM(C36:C42)</f>
        <v>398000</v>
      </c>
    </row>
    <row r="36" spans="1:4" x14ac:dyDescent="0.2">
      <c r="B36" s="3" t="s">
        <v>47</v>
      </c>
      <c r="C36" s="4">
        <v>3000</v>
      </c>
      <c r="D36" s="4"/>
    </row>
    <row r="37" spans="1:4" x14ac:dyDescent="0.2">
      <c r="B37" s="3" t="s">
        <v>48</v>
      </c>
      <c r="C37" s="4">
        <v>15000</v>
      </c>
      <c r="D37" s="4"/>
    </row>
    <row r="38" spans="1:4" x14ac:dyDescent="0.2">
      <c r="B38" s="3" t="s">
        <v>49</v>
      </c>
      <c r="C38" s="4">
        <v>40000</v>
      </c>
      <c r="D38" s="4">
        <f>30000*1.25</f>
        <v>37500</v>
      </c>
    </row>
    <row r="39" spans="1:4" x14ac:dyDescent="0.2">
      <c r="B39" s="3" t="s">
        <v>53</v>
      </c>
      <c r="C39" s="4">
        <f>40000*1.25</f>
        <v>50000</v>
      </c>
      <c r="D39" s="4"/>
    </row>
    <row r="40" spans="1:4" x14ac:dyDescent="0.2">
      <c r="B40" s="3" t="s">
        <v>50</v>
      </c>
      <c r="C40" s="4">
        <v>140000</v>
      </c>
      <c r="D40" s="4">
        <f>75000*1.25+30000*1.25</f>
        <v>131250</v>
      </c>
    </row>
    <row r="41" spans="1:4" x14ac:dyDescent="0.2">
      <c r="B41" s="3" t="s">
        <v>51</v>
      </c>
      <c r="C41" s="4">
        <v>140000</v>
      </c>
      <c r="D41" s="4">
        <f>109000*1.25</f>
        <v>136250</v>
      </c>
    </row>
    <row r="42" spans="1:4" x14ac:dyDescent="0.2">
      <c r="B42" s="3" t="s">
        <v>52</v>
      </c>
      <c r="C42" s="4">
        <v>10000</v>
      </c>
      <c r="D42" s="4"/>
    </row>
    <row r="43" spans="1:4" x14ac:dyDescent="0.2">
      <c r="C43" s="4"/>
      <c r="D43" s="4"/>
    </row>
    <row r="44" spans="1:4" x14ac:dyDescent="0.2">
      <c r="A44" s="6">
        <v>4255</v>
      </c>
      <c r="B44" s="6" t="s">
        <v>55</v>
      </c>
      <c r="C44" s="5">
        <v>25000</v>
      </c>
      <c r="D44" s="4"/>
    </row>
    <row r="45" spans="1:4" x14ac:dyDescent="0.2">
      <c r="B45" s="3" t="s">
        <v>56</v>
      </c>
      <c r="C45" s="4">
        <v>25000</v>
      </c>
      <c r="D45" s="4">
        <f>4*6000</f>
        <v>24000</v>
      </c>
    </row>
    <row r="46" spans="1:4" x14ac:dyDescent="0.2">
      <c r="B46" s="3" t="s">
        <v>57</v>
      </c>
      <c r="C46" s="4">
        <v>0</v>
      </c>
      <c r="D46" s="4"/>
    </row>
    <row r="47" spans="1:4" x14ac:dyDescent="0.2">
      <c r="C47" s="4"/>
      <c r="D47" s="4"/>
    </row>
    <row r="48" spans="1:4" x14ac:dyDescent="0.2">
      <c r="A48" s="6">
        <v>4257</v>
      </c>
      <c r="B48" s="6" t="s">
        <v>58</v>
      </c>
      <c r="C48" s="5">
        <v>650000</v>
      </c>
      <c r="D48" s="4">
        <f>SUM(C49:C56)</f>
        <v>641750</v>
      </c>
    </row>
    <row r="49" spans="1:4" x14ac:dyDescent="0.2">
      <c r="B49" s="3" t="s">
        <v>59</v>
      </c>
      <c r="C49" s="4">
        <v>60000</v>
      </c>
      <c r="D49" s="4"/>
    </row>
    <row r="50" spans="1:4" x14ac:dyDescent="0.2">
      <c r="B50" s="3" t="s">
        <v>65</v>
      </c>
      <c r="C50" s="4">
        <f>100000*1.25+195000*1.25</f>
        <v>368750</v>
      </c>
      <c r="D50" s="4"/>
    </row>
    <row r="51" spans="1:4" x14ac:dyDescent="0.2">
      <c r="B51" s="3" t="s">
        <v>60</v>
      </c>
      <c r="C51" s="4">
        <v>110000</v>
      </c>
      <c r="D51" s="4">
        <f>90000*1.25</f>
        <v>112500</v>
      </c>
    </row>
    <row r="52" spans="1:4" x14ac:dyDescent="0.2">
      <c r="B52" s="3" t="s">
        <v>61</v>
      </c>
      <c r="C52" s="4">
        <v>10000</v>
      </c>
      <c r="D52" s="4"/>
    </row>
    <row r="53" spans="1:4" x14ac:dyDescent="0.2">
      <c r="B53" s="3" t="s">
        <v>62</v>
      </c>
      <c r="C53" s="4">
        <v>10000</v>
      </c>
      <c r="D53" s="4"/>
    </row>
    <row r="54" spans="1:4" x14ac:dyDescent="0.2">
      <c r="B54" s="3" t="s">
        <v>63</v>
      </c>
      <c r="C54" s="4">
        <v>20000</v>
      </c>
      <c r="D54" s="4"/>
    </row>
    <row r="55" spans="1:4" x14ac:dyDescent="0.2">
      <c r="B55" s="3" t="s">
        <v>134</v>
      </c>
      <c r="C55" s="4">
        <v>60000</v>
      </c>
      <c r="D55" s="4"/>
    </row>
    <row r="56" spans="1:4" x14ac:dyDescent="0.2">
      <c r="B56" s="3" t="s">
        <v>64</v>
      </c>
      <c r="C56" s="4">
        <v>3000</v>
      </c>
      <c r="D56" s="4"/>
    </row>
    <row r="57" spans="1:4" x14ac:dyDescent="0.2">
      <c r="C57" s="4"/>
      <c r="D57" s="4"/>
    </row>
    <row r="58" spans="1:4" x14ac:dyDescent="0.2">
      <c r="A58" s="6">
        <v>4261</v>
      </c>
      <c r="B58" s="6" t="s">
        <v>79</v>
      </c>
      <c r="C58" s="5">
        <v>270000</v>
      </c>
      <c r="D58" s="4"/>
    </row>
    <row r="59" spans="1:4" x14ac:dyDescent="0.2">
      <c r="B59" s="3" t="s">
        <v>66</v>
      </c>
      <c r="C59" s="4">
        <v>20000</v>
      </c>
      <c r="D59" s="4">
        <f>SUM(C59:C66)</f>
        <v>262000</v>
      </c>
    </row>
    <row r="60" spans="1:4" x14ac:dyDescent="0.2">
      <c r="B60" s="3" t="s">
        <v>67</v>
      </c>
      <c r="C60" s="4">
        <v>5000</v>
      </c>
      <c r="D60" s="4"/>
    </row>
    <row r="61" spans="1:4" x14ac:dyDescent="0.2">
      <c r="B61" s="3" t="s">
        <v>68</v>
      </c>
      <c r="C61" s="4">
        <v>2000</v>
      </c>
      <c r="D61" s="4"/>
    </row>
    <row r="62" spans="1:4" x14ac:dyDescent="0.2">
      <c r="B62" s="3" t="s">
        <v>150</v>
      </c>
      <c r="C62" s="4">
        <v>20000</v>
      </c>
      <c r="D62" s="4"/>
    </row>
    <row r="63" spans="1:4" x14ac:dyDescent="0.2">
      <c r="B63" s="3" t="s">
        <v>69</v>
      </c>
      <c r="C63" s="4">
        <v>20000</v>
      </c>
      <c r="D63" s="4"/>
    </row>
    <row r="64" spans="1:4" x14ac:dyDescent="0.2">
      <c r="B64" s="3" t="s">
        <v>70</v>
      </c>
      <c r="C64" s="4">
        <f>120000*1.25</f>
        <v>150000</v>
      </c>
      <c r="D64" s="4"/>
    </row>
    <row r="65" spans="1:4" x14ac:dyDescent="0.2">
      <c r="B65" s="3" t="s">
        <v>71</v>
      </c>
      <c r="C65" s="4">
        <v>40000</v>
      </c>
      <c r="D65" s="4"/>
    </row>
    <row r="66" spans="1:4" x14ac:dyDescent="0.2">
      <c r="B66" s="3" t="s">
        <v>72</v>
      </c>
      <c r="C66" s="4">
        <v>5000</v>
      </c>
    </row>
    <row r="69" spans="1:4" x14ac:dyDescent="0.2">
      <c r="A69" s="6">
        <v>4292</v>
      </c>
      <c r="B69" s="6" t="s">
        <v>80</v>
      </c>
      <c r="C69" s="5">
        <v>260000</v>
      </c>
      <c r="D69" s="4">
        <f>SUM(C70:C72)</f>
        <v>259000</v>
      </c>
    </row>
    <row r="70" spans="1:4" x14ac:dyDescent="0.2">
      <c r="B70" s="3" t="s">
        <v>81</v>
      </c>
      <c r="C70" s="4">
        <v>3000</v>
      </c>
    </row>
    <row r="71" spans="1:4" x14ac:dyDescent="0.2">
      <c r="B71" s="3" t="s">
        <v>82</v>
      </c>
      <c r="C71" s="4">
        <v>20000</v>
      </c>
    </row>
    <row r="72" spans="1:4" x14ac:dyDescent="0.2">
      <c r="B72" s="3" t="s">
        <v>83</v>
      </c>
      <c r="C72" s="4">
        <v>236000</v>
      </c>
    </row>
    <row r="73" spans="1:4" x14ac:dyDescent="0.2">
      <c r="C73" s="4"/>
    </row>
    <row r="74" spans="1:4" x14ac:dyDescent="0.2">
      <c r="C74" s="4"/>
    </row>
    <row r="75" spans="1:4" x14ac:dyDescent="0.2">
      <c r="A75" s="6">
        <v>4311</v>
      </c>
      <c r="B75" s="6" t="s">
        <v>120</v>
      </c>
      <c r="C75" s="5">
        <f>+C79+C81</f>
        <v>56469125.101000004</v>
      </c>
    </row>
    <row r="76" spans="1:4" x14ac:dyDescent="0.2">
      <c r="A76" s="20" t="s">
        <v>144</v>
      </c>
      <c r="B76" s="3" t="s">
        <v>148</v>
      </c>
      <c r="C76" s="4">
        <f>1397776811.25-343000+400000*7.7</f>
        <v>1400513811.25</v>
      </c>
    </row>
    <row r="77" spans="1:4" x14ac:dyDescent="0.2">
      <c r="A77" s="20" t="s">
        <v>145</v>
      </c>
      <c r="B77" s="3" t="s">
        <v>148</v>
      </c>
      <c r="C77" s="4">
        <v>3458510</v>
      </c>
    </row>
    <row r="78" spans="1:4" x14ac:dyDescent="0.2">
      <c r="C78" s="4">
        <f>+C77+C76</f>
        <v>1403972321.25</v>
      </c>
    </row>
    <row r="79" spans="1:4" x14ac:dyDescent="0.2">
      <c r="C79" s="4">
        <f>+C78/25</f>
        <v>56158892.850000001</v>
      </c>
    </row>
    <row r="80" spans="1:4" x14ac:dyDescent="0.2">
      <c r="A80" s="20" t="s">
        <v>146</v>
      </c>
      <c r="B80" s="3" t="s">
        <v>147</v>
      </c>
      <c r="C80" s="4">
        <f>5804645.02+400000</f>
        <v>6204645.0199999996</v>
      </c>
    </row>
    <row r="81" spans="3:3" x14ac:dyDescent="0.2">
      <c r="C81" s="3">
        <f>+C80/20</f>
        <v>310232.25099999999</v>
      </c>
    </row>
    <row r="82" spans="3:3" x14ac:dyDescent="0.2">
      <c r="C82" s="4">
        <f>+C81+C79</f>
        <v>56469125.101000004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6"/>
  <sheetViews>
    <sheetView workbookViewId="0">
      <selection activeCell="A4" sqref="A4:E8"/>
    </sheetView>
  </sheetViews>
  <sheetFormatPr defaultRowHeight="12.75" x14ac:dyDescent="0.2"/>
  <cols>
    <col min="1" max="1" width="2.5703125" style="23" bestFit="1" customWidth="1"/>
    <col min="2" max="2" width="31.140625" style="23" bestFit="1" customWidth="1"/>
    <col min="3" max="4" width="10.7109375" style="23" bestFit="1" customWidth="1"/>
    <col min="5" max="5" width="10.140625" style="23" bestFit="1" customWidth="1"/>
    <col min="6" max="16384" width="9.140625" style="23"/>
  </cols>
  <sheetData>
    <row r="4" spans="1:5" x14ac:dyDescent="0.2">
      <c r="A4" s="21"/>
      <c r="B4" s="21"/>
      <c r="C4" s="22" t="s">
        <v>140</v>
      </c>
      <c r="D4" s="22" t="s">
        <v>141</v>
      </c>
      <c r="E4" s="22" t="s">
        <v>142</v>
      </c>
    </row>
    <row r="5" spans="1:5" x14ac:dyDescent="0.2">
      <c r="A5" s="24">
        <v>1</v>
      </c>
      <c r="B5" s="24" t="s">
        <v>135</v>
      </c>
      <c r="C5" s="25">
        <v>76385365.849999994</v>
      </c>
      <c r="D5" s="25">
        <v>68381176.469999999</v>
      </c>
      <c r="E5" s="25">
        <v>23571428.579999998</v>
      </c>
    </row>
    <row r="6" spans="1:5" x14ac:dyDescent="0.2">
      <c r="A6" s="24">
        <f>+A5+1</f>
        <v>2</v>
      </c>
      <c r="B6" s="24" t="s">
        <v>136</v>
      </c>
      <c r="C6" s="25">
        <v>0</v>
      </c>
      <c r="D6" s="25">
        <v>2800000</v>
      </c>
      <c r="E6" s="25">
        <v>0</v>
      </c>
    </row>
    <row r="7" spans="1:5" x14ac:dyDescent="0.2">
      <c r="A7" s="26">
        <f t="shared" ref="A7:A10" si="0">+A6+1</f>
        <v>3</v>
      </c>
      <c r="B7" s="26" t="s">
        <v>137</v>
      </c>
      <c r="C7" s="27">
        <v>331707.32</v>
      </c>
      <c r="D7" s="27">
        <v>14117647.060000001</v>
      </c>
      <c r="E7" s="27">
        <v>23571428.579999998</v>
      </c>
    </row>
    <row r="8" spans="1:5" x14ac:dyDescent="0.2">
      <c r="A8" s="28">
        <f t="shared" si="0"/>
        <v>4</v>
      </c>
      <c r="B8" s="28" t="s">
        <v>151</v>
      </c>
      <c r="C8" s="29">
        <f>+C5+C6-C7</f>
        <v>76053658.530000001</v>
      </c>
      <c r="D8" s="29">
        <f>+D5+D6-D7</f>
        <v>57063529.409999996</v>
      </c>
      <c r="E8" s="29">
        <f>+E5+E6-E7</f>
        <v>0</v>
      </c>
    </row>
    <row r="9" spans="1:5" x14ac:dyDescent="0.2">
      <c r="A9" s="30">
        <f t="shared" si="0"/>
        <v>5</v>
      </c>
      <c r="B9" s="30" t="s">
        <v>138</v>
      </c>
      <c r="C9" s="31">
        <f>+C5-C8</f>
        <v>331707.31999999285</v>
      </c>
      <c r="D9" s="31">
        <f>+D5-D8</f>
        <v>11317647.060000002</v>
      </c>
      <c r="E9" s="31">
        <f>+E7</f>
        <v>23571428.579999998</v>
      </c>
    </row>
    <row r="10" spans="1:5" x14ac:dyDescent="0.2">
      <c r="A10" s="30">
        <f t="shared" si="0"/>
        <v>6</v>
      </c>
      <c r="B10" s="30" t="s">
        <v>139</v>
      </c>
      <c r="C10" s="32">
        <f>(1-C8/C5)*100</f>
        <v>0.43425506483973919</v>
      </c>
      <c r="D10" s="32">
        <f>+(1-D8/D5)*100</f>
        <v>16.550822381602703</v>
      </c>
      <c r="E10" s="31">
        <f>+E7/E5*100</f>
        <v>100</v>
      </c>
    </row>
    <row r="11" spans="1:5" x14ac:dyDescent="0.2">
      <c r="C11" s="33"/>
      <c r="D11" s="33"/>
      <c r="E11" s="33"/>
    </row>
    <row r="12" spans="1:5" x14ac:dyDescent="0.2">
      <c r="C12" s="33"/>
      <c r="D12" s="33"/>
      <c r="E12" s="33"/>
    </row>
    <row r="13" spans="1:5" x14ac:dyDescent="0.2">
      <c r="C13" s="33"/>
      <c r="D13" s="33"/>
      <c r="E13" s="33"/>
    </row>
    <row r="14" spans="1:5" x14ac:dyDescent="0.2">
      <c r="C14" s="33"/>
      <c r="D14" s="34"/>
      <c r="E14" s="33"/>
    </row>
    <row r="15" spans="1:5" x14ac:dyDescent="0.2">
      <c r="C15" s="33"/>
      <c r="D15" s="33"/>
      <c r="E15" s="33"/>
    </row>
    <row r="16" spans="1:5" x14ac:dyDescent="0.2">
      <c r="C16" s="33"/>
      <c r="D16" s="33"/>
      <c r="E16" s="3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5"/>
  <sheetViews>
    <sheetView zoomScale="80" zoomScaleNormal="80" workbookViewId="0">
      <selection activeCell="G61" sqref="G61"/>
    </sheetView>
  </sheetViews>
  <sheetFormatPr defaultRowHeight="12.75" x14ac:dyDescent="0.2"/>
  <cols>
    <col min="1" max="1" width="7.5703125" style="35" customWidth="1"/>
    <col min="2" max="2" width="56.7109375" style="35" bestFit="1" customWidth="1"/>
    <col min="3" max="3" width="14.7109375" style="35" customWidth="1"/>
    <col min="4" max="4" width="15" style="35" customWidth="1"/>
    <col min="5" max="5" width="10.7109375" style="35" customWidth="1"/>
    <col min="6" max="6" width="25.42578125" style="35" customWidth="1"/>
    <col min="7" max="7" width="25.85546875" style="35" customWidth="1"/>
    <col min="8" max="18" width="9.140625" style="35"/>
    <col min="19" max="19" width="10.85546875" style="35" bestFit="1" customWidth="1"/>
    <col min="20" max="20" width="12.42578125" style="35" customWidth="1"/>
    <col min="21" max="21" width="12.42578125" style="35" bestFit="1" customWidth="1"/>
    <col min="22" max="22" width="9.140625" style="35"/>
    <col min="23" max="23" width="12.42578125" style="35" bestFit="1" customWidth="1"/>
    <col min="24" max="24" width="12.5703125" style="35" bestFit="1" customWidth="1"/>
    <col min="25" max="25" width="12.42578125" style="35" bestFit="1" customWidth="1"/>
    <col min="26" max="254" width="9.140625" style="35"/>
    <col min="255" max="255" width="7.5703125" style="35" customWidth="1"/>
    <col min="256" max="256" width="56.7109375" style="35" bestFit="1" customWidth="1"/>
    <col min="257" max="257" width="11.42578125" style="35" customWidth="1"/>
    <col min="258" max="258" width="11.28515625" style="35" bestFit="1" customWidth="1"/>
    <col min="259" max="510" width="9.140625" style="35"/>
    <col min="511" max="511" width="7.5703125" style="35" customWidth="1"/>
    <col min="512" max="512" width="56.7109375" style="35" bestFit="1" customWidth="1"/>
    <col min="513" max="513" width="11.42578125" style="35" customWidth="1"/>
    <col min="514" max="514" width="11.28515625" style="35" bestFit="1" customWidth="1"/>
    <col min="515" max="766" width="9.140625" style="35"/>
    <col min="767" max="767" width="7.5703125" style="35" customWidth="1"/>
    <col min="768" max="768" width="56.7109375" style="35" bestFit="1" customWidth="1"/>
    <col min="769" max="769" width="11.42578125" style="35" customWidth="1"/>
    <col min="770" max="770" width="11.28515625" style="35" bestFit="1" customWidth="1"/>
    <col min="771" max="1022" width="9.140625" style="35"/>
    <col min="1023" max="1023" width="7.5703125" style="35" customWidth="1"/>
    <col min="1024" max="1024" width="56.7109375" style="35" bestFit="1" customWidth="1"/>
    <col min="1025" max="1025" width="11.42578125" style="35" customWidth="1"/>
    <col min="1026" max="1026" width="11.28515625" style="35" bestFit="1" customWidth="1"/>
    <col min="1027" max="1278" width="9.140625" style="35"/>
    <col min="1279" max="1279" width="7.5703125" style="35" customWidth="1"/>
    <col min="1280" max="1280" width="56.7109375" style="35" bestFit="1" customWidth="1"/>
    <col min="1281" max="1281" width="11.42578125" style="35" customWidth="1"/>
    <col min="1282" max="1282" width="11.28515625" style="35" bestFit="1" customWidth="1"/>
    <col min="1283" max="1534" width="9.140625" style="35"/>
    <col min="1535" max="1535" width="7.5703125" style="35" customWidth="1"/>
    <col min="1536" max="1536" width="56.7109375" style="35" bestFit="1" customWidth="1"/>
    <col min="1537" max="1537" width="11.42578125" style="35" customWidth="1"/>
    <col min="1538" max="1538" width="11.28515625" style="35" bestFit="1" customWidth="1"/>
    <col min="1539" max="1790" width="9.140625" style="35"/>
    <col min="1791" max="1791" width="7.5703125" style="35" customWidth="1"/>
    <col min="1792" max="1792" width="56.7109375" style="35" bestFit="1" customWidth="1"/>
    <col min="1793" max="1793" width="11.42578125" style="35" customWidth="1"/>
    <col min="1794" max="1794" width="11.28515625" style="35" bestFit="1" customWidth="1"/>
    <col min="1795" max="2046" width="9.140625" style="35"/>
    <col min="2047" max="2047" width="7.5703125" style="35" customWidth="1"/>
    <col min="2048" max="2048" width="56.7109375" style="35" bestFit="1" customWidth="1"/>
    <col min="2049" max="2049" width="11.42578125" style="35" customWidth="1"/>
    <col min="2050" max="2050" width="11.28515625" style="35" bestFit="1" customWidth="1"/>
    <col min="2051" max="2302" width="9.140625" style="35"/>
    <col min="2303" max="2303" width="7.5703125" style="35" customWidth="1"/>
    <col min="2304" max="2304" width="56.7109375" style="35" bestFit="1" customWidth="1"/>
    <col min="2305" max="2305" width="11.42578125" style="35" customWidth="1"/>
    <col min="2306" max="2306" width="11.28515625" style="35" bestFit="1" customWidth="1"/>
    <col min="2307" max="2558" width="9.140625" style="35"/>
    <col min="2559" max="2559" width="7.5703125" style="35" customWidth="1"/>
    <col min="2560" max="2560" width="56.7109375" style="35" bestFit="1" customWidth="1"/>
    <col min="2561" max="2561" width="11.42578125" style="35" customWidth="1"/>
    <col min="2562" max="2562" width="11.28515625" style="35" bestFit="1" customWidth="1"/>
    <col min="2563" max="2814" width="9.140625" style="35"/>
    <col min="2815" max="2815" width="7.5703125" style="35" customWidth="1"/>
    <col min="2816" max="2816" width="56.7109375" style="35" bestFit="1" customWidth="1"/>
    <col min="2817" max="2817" width="11.42578125" style="35" customWidth="1"/>
    <col min="2818" max="2818" width="11.28515625" style="35" bestFit="1" customWidth="1"/>
    <col min="2819" max="3070" width="9.140625" style="35"/>
    <col min="3071" max="3071" width="7.5703125" style="35" customWidth="1"/>
    <col min="3072" max="3072" width="56.7109375" style="35" bestFit="1" customWidth="1"/>
    <col min="3073" max="3073" width="11.42578125" style="35" customWidth="1"/>
    <col min="3074" max="3074" width="11.28515625" style="35" bestFit="1" customWidth="1"/>
    <col min="3075" max="3326" width="9.140625" style="35"/>
    <col min="3327" max="3327" width="7.5703125" style="35" customWidth="1"/>
    <col min="3328" max="3328" width="56.7109375" style="35" bestFit="1" customWidth="1"/>
    <col min="3329" max="3329" width="11.42578125" style="35" customWidth="1"/>
    <col min="3330" max="3330" width="11.28515625" style="35" bestFit="1" customWidth="1"/>
    <col min="3331" max="3582" width="9.140625" style="35"/>
    <col min="3583" max="3583" width="7.5703125" style="35" customWidth="1"/>
    <col min="3584" max="3584" width="56.7109375" style="35" bestFit="1" customWidth="1"/>
    <col min="3585" max="3585" width="11.42578125" style="35" customWidth="1"/>
    <col min="3586" max="3586" width="11.28515625" style="35" bestFit="1" customWidth="1"/>
    <col min="3587" max="3838" width="9.140625" style="35"/>
    <col min="3839" max="3839" width="7.5703125" style="35" customWidth="1"/>
    <col min="3840" max="3840" width="56.7109375" style="35" bestFit="1" customWidth="1"/>
    <col min="3841" max="3841" width="11.42578125" style="35" customWidth="1"/>
    <col min="3842" max="3842" width="11.28515625" style="35" bestFit="1" customWidth="1"/>
    <col min="3843" max="4094" width="9.140625" style="35"/>
    <col min="4095" max="4095" width="7.5703125" style="35" customWidth="1"/>
    <col min="4096" max="4096" width="56.7109375" style="35" bestFit="1" customWidth="1"/>
    <col min="4097" max="4097" width="11.42578125" style="35" customWidth="1"/>
    <col min="4098" max="4098" width="11.28515625" style="35" bestFit="1" customWidth="1"/>
    <col min="4099" max="4350" width="9.140625" style="35"/>
    <col min="4351" max="4351" width="7.5703125" style="35" customWidth="1"/>
    <col min="4352" max="4352" width="56.7109375" style="35" bestFit="1" customWidth="1"/>
    <col min="4353" max="4353" width="11.42578125" style="35" customWidth="1"/>
    <col min="4354" max="4354" width="11.28515625" style="35" bestFit="1" customWidth="1"/>
    <col min="4355" max="4606" width="9.140625" style="35"/>
    <col min="4607" max="4607" width="7.5703125" style="35" customWidth="1"/>
    <col min="4608" max="4608" width="56.7109375" style="35" bestFit="1" customWidth="1"/>
    <col min="4609" max="4609" width="11.42578125" style="35" customWidth="1"/>
    <col min="4610" max="4610" width="11.28515625" style="35" bestFit="1" customWidth="1"/>
    <col min="4611" max="4862" width="9.140625" style="35"/>
    <col min="4863" max="4863" width="7.5703125" style="35" customWidth="1"/>
    <col min="4864" max="4864" width="56.7109375" style="35" bestFit="1" customWidth="1"/>
    <col min="4865" max="4865" width="11.42578125" style="35" customWidth="1"/>
    <col min="4866" max="4866" width="11.28515625" style="35" bestFit="1" customWidth="1"/>
    <col min="4867" max="5118" width="9.140625" style="35"/>
    <col min="5119" max="5119" width="7.5703125" style="35" customWidth="1"/>
    <col min="5120" max="5120" width="56.7109375" style="35" bestFit="1" customWidth="1"/>
    <col min="5121" max="5121" width="11.42578125" style="35" customWidth="1"/>
    <col min="5122" max="5122" width="11.28515625" style="35" bestFit="1" customWidth="1"/>
    <col min="5123" max="5374" width="9.140625" style="35"/>
    <col min="5375" max="5375" width="7.5703125" style="35" customWidth="1"/>
    <col min="5376" max="5376" width="56.7109375" style="35" bestFit="1" customWidth="1"/>
    <col min="5377" max="5377" width="11.42578125" style="35" customWidth="1"/>
    <col min="5378" max="5378" width="11.28515625" style="35" bestFit="1" customWidth="1"/>
    <col min="5379" max="5630" width="9.140625" style="35"/>
    <col min="5631" max="5631" width="7.5703125" style="35" customWidth="1"/>
    <col min="5632" max="5632" width="56.7109375" style="35" bestFit="1" customWidth="1"/>
    <col min="5633" max="5633" width="11.42578125" style="35" customWidth="1"/>
    <col min="5634" max="5634" width="11.28515625" style="35" bestFit="1" customWidth="1"/>
    <col min="5635" max="5886" width="9.140625" style="35"/>
    <col min="5887" max="5887" width="7.5703125" style="35" customWidth="1"/>
    <col min="5888" max="5888" width="56.7109375" style="35" bestFit="1" customWidth="1"/>
    <col min="5889" max="5889" width="11.42578125" style="35" customWidth="1"/>
    <col min="5890" max="5890" width="11.28515625" style="35" bestFit="1" customWidth="1"/>
    <col min="5891" max="6142" width="9.140625" style="35"/>
    <col min="6143" max="6143" width="7.5703125" style="35" customWidth="1"/>
    <col min="6144" max="6144" width="56.7109375" style="35" bestFit="1" customWidth="1"/>
    <col min="6145" max="6145" width="11.42578125" style="35" customWidth="1"/>
    <col min="6146" max="6146" width="11.28515625" style="35" bestFit="1" customWidth="1"/>
    <col min="6147" max="6398" width="9.140625" style="35"/>
    <col min="6399" max="6399" width="7.5703125" style="35" customWidth="1"/>
    <col min="6400" max="6400" width="56.7109375" style="35" bestFit="1" customWidth="1"/>
    <col min="6401" max="6401" width="11.42578125" style="35" customWidth="1"/>
    <col min="6402" max="6402" width="11.28515625" style="35" bestFit="1" customWidth="1"/>
    <col min="6403" max="6654" width="9.140625" style="35"/>
    <col min="6655" max="6655" width="7.5703125" style="35" customWidth="1"/>
    <col min="6656" max="6656" width="56.7109375" style="35" bestFit="1" customWidth="1"/>
    <col min="6657" max="6657" width="11.42578125" style="35" customWidth="1"/>
    <col min="6658" max="6658" width="11.28515625" style="35" bestFit="1" customWidth="1"/>
    <col min="6659" max="6910" width="9.140625" style="35"/>
    <col min="6911" max="6911" width="7.5703125" style="35" customWidth="1"/>
    <col min="6912" max="6912" width="56.7109375" style="35" bestFit="1" customWidth="1"/>
    <col min="6913" max="6913" width="11.42578125" style="35" customWidth="1"/>
    <col min="6914" max="6914" width="11.28515625" style="35" bestFit="1" customWidth="1"/>
    <col min="6915" max="7166" width="9.140625" style="35"/>
    <col min="7167" max="7167" width="7.5703125" style="35" customWidth="1"/>
    <col min="7168" max="7168" width="56.7109375" style="35" bestFit="1" customWidth="1"/>
    <col min="7169" max="7169" width="11.42578125" style="35" customWidth="1"/>
    <col min="7170" max="7170" width="11.28515625" style="35" bestFit="1" customWidth="1"/>
    <col min="7171" max="7422" width="9.140625" style="35"/>
    <col min="7423" max="7423" width="7.5703125" style="35" customWidth="1"/>
    <col min="7424" max="7424" width="56.7109375" style="35" bestFit="1" customWidth="1"/>
    <col min="7425" max="7425" width="11.42578125" style="35" customWidth="1"/>
    <col min="7426" max="7426" width="11.28515625" style="35" bestFit="1" customWidth="1"/>
    <col min="7427" max="7678" width="9.140625" style="35"/>
    <col min="7679" max="7679" width="7.5703125" style="35" customWidth="1"/>
    <col min="7680" max="7680" width="56.7109375" style="35" bestFit="1" customWidth="1"/>
    <col min="7681" max="7681" width="11.42578125" style="35" customWidth="1"/>
    <col min="7682" max="7682" width="11.28515625" style="35" bestFit="1" customWidth="1"/>
    <col min="7683" max="7934" width="9.140625" style="35"/>
    <col min="7935" max="7935" width="7.5703125" style="35" customWidth="1"/>
    <col min="7936" max="7936" width="56.7109375" style="35" bestFit="1" customWidth="1"/>
    <col min="7937" max="7937" width="11.42578125" style="35" customWidth="1"/>
    <col min="7938" max="7938" width="11.28515625" style="35" bestFit="1" customWidth="1"/>
    <col min="7939" max="8190" width="9.140625" style="35"/>
    <col min="8191" max="8191" width="7.5703125" style="35" customWidth="1"/>
    <col min="8192" max="8192" width="56.7109375" style="35" bestFit="1" customWidth="1"/>
    <col min="8193" max="8193" width="11.42578125" style="35" customWidth="1"/>
    <col min="8194" max="8194" width="11.28515625" style="35" bestFit="1" customWidth="1"/>
    <col min="8195" max="8446" width="9.140625" style="35"/>
    <col min="8447" max="8447" width="7.5703125" style="35" customWidth="1"/>
    <col min="8448" max="8448" width="56.7109375" style="35" bestFit="1" customWidth="1"/>
    <col min="8449" max="8449" width="11.42578125" style="35" customWidth="1"/>
    <col min="8450" max="8450" width="11.28515625" style="35" bestFit="1" customWidth="1"/>
    <col min="8451" max="8702" width="9.140625" style="35"/>
    <col min="8703" max="8703" width="7.5703125" style="35" customWidth="1"/>
    <col min="8704" max="8704" width="56.7109375" style="35" bestFit="1" customWidth="1"/>
    <col min="8705" max="8705" width="11.42578125" style="35" customWidth="1"/>
    <col min="8706" max="8706" width="11.28515625" style="35" bestFit="1" customWidth="1"/>
    <col min="8707" max="8958" width="9.140625" style="35"/>
    <col min="8959" max="8959" width="7.5703125" style="35" customWidth="1"/>
    <col min="8960" max="8960" width="56.7109375" style="35" bestFit="1" customWidth="1"/>
    <col min="8961" max="8961" width="11.42578125" style="35" customWidth="1"/>
    <col min="8962" max="8962" width="11.28515625" style="35" bestFit="1" customWidth="1"/>
    <col min="8963" max="9214" width="9.140625" style="35"/>
    <col min="9215" max="9215" width="7.5703125" style="35" customWidth="1"/>
    <col min="9216" max="9216" width="56.7109375" style="35" bestFit="1" customWidth="1"/>
    <col min="9217" max="9217" width="11.42578125" style="35" customWidth="1"/>
    <col min="9218" max="9218" width="11.28515625" style="35" bestFit="1" customWidth="1"/>
    <col min="9219" max="9470" width="9.140625" style="35"/>
    <col min="9471" max="9471" width="7.5703125" style="35" customWidth="1"/>
    <col min="9472" max="9472" width="56.7109375" style="35" bestFit="1" customWidth="1"/>
    <col min="9473" max="9473" width="11.42578125" style="35" customWidth="1"/>
    <col min="9474" max="9474" width="11.28515625" style="35" bestFit="1" customWidth="1"/>
    <col min="9475" max="9726" width="9.140625" style="35"/>
    <col min="9727" max="9727" width="7.5703125" style="35" customWidth="1"/>
    <col min="9728" max="9728" width="56.7109375" style="35" bestFit="1" customWidth="1"/>
    <col min="9729" max="9729" width="11.42578125" style="35" customWidth="1"/>
    <col min="9730" max="9730" width="11.28515625" style="35" bestFit="1" customWidth="1"/>
    <col min="9731" max="9982" width="9.140625" style="35"/>
    <col min="9983" max="9983" width="7.5703125" style="35" customWidth="1"/>
    <col min="9984" max="9984" width="56.7109375" style="35" bestFit="1" customWidth="1"/>
    <col min="9985" max="9985" width="11.42578125" style="35" customWidth="1"/>
    <col min="9986" max="9986" width="11.28515625" style="35" bestFit="1" customWidth="1"/>
    <col min="9987" max="10238" width="9.140625" style="35"/>
    <col min="10239" max="10239" width="7.5703125" style="35" customWidth="1"/>
    <col min="10240" max="10240" width="56.7109375" style="35" bestFit="1" customWidth="1"/>
    <col min="10241" max="10241" width="11.42578125" style="35" customWidth="1"/>
    <col min="10242" max="10242" width="11.28515625" style="35" bestFit="1" customWidth="1"/>
    <col min="10243" max="10494" width="9.140625" style="35"/>
    <col min="10495" max="10495" width="7.5703125" style="35" customWidth="1"/>
    <col min="10496" max="10496" width="56.7109375" style="35" bestFit="1" customWidth="1"/>
    <col min="10497" max="10497" width="11.42578125" style="35" customWidth="1"/>
    <col min="10498" max="10498" width="11.28515625" style="35" bestFit="1" customWidth="1"/>
    <col min="10499" max="10750" width="9.140625" style="35"/>
    <col min="10751" max="10751" width="7.5703125" style="35" customWidth="1"/>
    <col min="10752" max="10752" width="56.7109375" style="35" bestFit="1" customWidth="1"/>
    <col min="10753" max="10753" width="11.42578125" style="35" customWidth="1"/>
    <col min="10754" max="10754" width="11.28515625" style="35" bestFit="1" customWidth="1"/>
    <col min="10755" max="11006" width="9.140625" style="35"/>
    <col min="11007" max="11007" width="7.5703125" style="35" customWidth="1"/>
    <col min="11008" max="11008" width="56.7109375" style="35" bestFit="1" customWidth="1"/>
    <col min="11009" max="11009" width="11.42578125" style="35" customWidth="1"/>
    <col min="11010" max="11010" width="11.28515625" style="35" bestFit="1" customWidth="1"/>
    <col min="11011" max="11262" width="9.140625" style="35"/>
    <col min="11263" max="11263" width="7.5703125" style="35" customWidth="1"/>
    <col min="11264" max="11264" width="56.7109375" style="35" bestFit="1" customWidth="1"/>
    <col min="11265" max="11265" width="11.42578125" style="35" customWidth="1"/>
    <col min="11266" max="11266" width="11.28515625" style="35" bestFit="1" customWidth="1"/>
    <col min="11267" max="11518" width="9.140625" style="35"/>
    <col min="11519" max="11519" width="7.5703125" style="35" customWidth="1"/>
    <col min="11520" max="11520" width="56.7109375" style="35" bestFit="1" customWidth="1"/>
    <col min="11521" max="11521" width="11.42578125" style="35" customWidth="1"/>
    <col min="11522" max="11522" width="11.28515625" style="35" bestFit="1" customWidth="1"/>
    <col min="11523" max="11774" width="9.140625" style="35"/>
    <col min="11775" max="11775" width="7.5703125" style="35" customWidth="1"/>
    <col min="11776" max="11776" width="56.7109375" style="35" bestFit="1" customWidth="1"/>
    <col min="11777" max="11777" width="11.42578125" style="35" customWidth="1"/>
    <col min="11778" max="11778" width="11.28515625" style="35" bestFit="1" customWidth="1"/>
    <col min="11779" max="12030" width="9.140625" style="35"/>
    <col min="12031" max="12031" width="7.5703125" style="35" customWidth="1"/>
    <col min="12032" max="12032" width="56.7109375" style="35" bestFit="1" customWidth="1"/>
    <col min="12033" max="12033" width="11.42578125" style="35" customWidth="1"/>
    <col min="12034" max="12034" width="11.28515625" style="35" bestFit="1" customWidth="1"/>
    <col min="12035" max="12286" width="9.140625" style="35"/>
    <col min="12287" max="12287" width="7.5703125" style="35" customWidth="1"/>
    <col min="12288" max="12288" width="56.7109375" style="35" bestFit="1" customWidth="1"/>
    <col min="12289" max="12289" width="11.42578125" style="35" customWidth="1"/>
    <col min="12290" max="12290" width="11.28515625" style="35" bestFit="1" customWidth="1"/>
    <col min="12291" max="12542" width="9.140625" style="35"/>
    <col min="12543" max="12543" width="7.5703125" style="35" customWidth="1"/>
    <col min="12544" max="12544" width="56.7109375" style="35" bestFit="1" customWidth="1"/>
    <col min="12545" max="12545" width="11.42578125" style="35" customWidth="1"/>
    <col min="12546" max="12546" width="11.28515625" style="35" bestFit="1" customWidth="1"/>
    <col min="12547" max="12798" width="9.140625" style="35"/>
    <col min="12799" max="12799" width="7.5703125" style="35" customWidth="1"/>
    <col min="12800" max="12800" width="56.7109375" style="35" bestFit="1" customWidth="1"/>
    <col min="12801" max="12801" width="11.42578125" style="35" customWidth="1"/>
    <col min="12802" max="12802" width="11.28515625" style="35" bestFit="1" customWidth="1"/>
    <col min="12803" max="13054" width="9.140625" style="35"/>
    <col min="13055" max="13055" width="7.5703125" style="35" customWidth="1"/>
    <col min="13056" max="13056" width="56.7109375" style="35" bestFit="1" customWidth="1"/>
    <col min="13057" max="13057" width="11.42578125" style="35" customWidth="1"/>
    <col min="13058" max="13058" width="11.28515625" style="35" bestFit="1" customWidth="1"/>
    <col min="13059" max="13310" width="9.140625" style="35"/>
    <col min="13311" max="13311" width="7.5703125" style="35" customWidth="1"/>
    <col min="13312" max="13312" width="56.7109375" style="35" bestFit="1" customWidth="1"/>
    <col min="13313" max="13313" width="11.42578125" style="35" customWidth="1"/>
    <col min="13314" max="13314" width="11.28515625" style="35" bestFit="1" customWidth="1"/>
    <col min="13315" max="13566" width="9.140625" style="35"/>
    <col min="13567" max="13567" width="7.5703125" style="35" customWidth="1"/>
    <col min="13568" max="13568" width="56.7109375" style="35" bestFit="1" customWidth="1"/>
    <col min="13569" max="13569" width="11.42578125" style="35" customWidth="1"/>
    <col min="13570" max="13570" width="11.28515625" style="35" bestFit="1" customWidth="1"/>
    <col min="13571" max="13822" width="9.140625" style="35"/>
    <col min="13823" max="13823" width="7.5703125" style="35" customWidth="1"/>
    <col min="13824" max="13824" width="56.7109375" style="35" bestFit="1" customWidth="1"/>
    <col min="13825" max="13825" width="11.42578125" style="35" customWidth="1"/>
    <col min="13826" max="13826" width="11.28515625" style="35" bestFit="1" customWidth="1"/>
    <col min="13827" max="14078" width="9.140625" style="35"/>
    <col min="14079" max="14079" width="7.5703125" style="35" customWidth="1"/>
    <col min="14080" max="14080" width="56.7109375" style="35" bestFit="1" customWidth="1"/>
    <col min="14081" max="14081" width="11.42578125" style="35" customWidth="1"/>
    <col min="14082" max="14082" width="11.28515625" style="35" bestFit="1" customWidth="1"/>
    <col min="14083" max="14334" width="9.140625" style="35"/>
    <col min="14335" max="14335" width="7.5703125" style="35" customWidth="1"/>
    <col min="14336" max="14336" width="56.7109375" style="35" bestFit="1" customWidth="1"/>
    <col min="14337" max="14337" width="11.42578125" style="35" customWidth="1"/>
    <col min="14338" max="14338" width="11.28515625" style="35" bestFit="1" customWidth="1"/>
    <col min="14339" max="14590" width="9.140625" style="35"/>
    <col min="14591" max="14591" width="7.5703125" style="35" customWidth="1"/>
    <col min="14592" max="14592" width="56.7109375" style="35" bestFit="1" customWidth="1"/>
    <col min="14593" max="14593" width="11.42578125" style="35" customWidth="1"/>
    <col min="14594" max="14594" width="11.28515625" style="35" bestFit="1" customWidth="1"/>
    <col min="14595" max="14846" width="9.140625" style="35"/>
    <col min="14847" max="14847" width="7.5703125" style="35" customWidth="1"/>
    <col min="14848" max="14848" width="56.7109375" style="35" bestFit="1" customWidth="1"/>
    <col min="14849" max="14849" width="11.42578125" style="35" customWidth="1"/>
    <col min="14850" max="14850" width="11.28515625" style="35" bestFit="1" customWidth="1"/>
    <col min="14851" max="15102" width="9.140625" style="35"/>
    <col min="15103" max="15103" width="7.5703125" style="35" customWidth="1"/>
    <col min="15104" max="15104" width="56.7109375" style="35" bestFit="1" customWidth="1"/>
    <col min="15105" max="15105" width="11.42578125" style="35" customWidth="1"/>
    <col min="15106" max="15106" width="11.28515625" style="35" bestFit="1" customWidth="1"/>
    <col min="15107" max="15358" width="9.140625" style="35"/>
    <col min="15359" max="15359" width="7.5703125" style="35" customWidth="1"/>
    <col min="15360" max="15360" width="56.7109375" style="35" bestFit="1" customWidth="1"/>
    <col min="15361" max="15361" width="11.42578125" style="35" customWidth="1"/>
    <col min="15362" max="15362" width="11.28515625" style="35" bestFit="1" customWidth="1"/>
    <col min="15363" max="15614" width="9.140625" style="35"/>
    <col min="15615" max="15615" width="7.5703125" style="35" customWidth="1"/>
    <col min="15616" max="15616" width="56.7109375" style="35" bestFit="1" customWidth="1"/>
    <col min="15617" max="15617" width="11.42578125" style="35" customWidth="1"/>
    <col min="15618" max="15618" width="11.28515625" style="35" bestFit="1" customWidth="1"/>
    <col min="15619" max="15870" width="9.140625" style="35"/>
    <col min="15871" max="15871" width="7.5703125" style="35" customWidth="1"/>
    <col min="15872" max="15872" width="56.7109375" style="35" bestFit="1" customWidth="1"/>
    <col min="15873" max="15873" width="11.42578125" style="35" customWidth="1"/>
    <col min="15874" max="15874" width="11.28515625" style="35" bestFit="1" customWidth="1"/>
    <col min="15875" max="16126" width="9.140625" style="35"/>
    <col min="16127" max="16127" width="7.5703125" style="35" customWidth="1"/>
    <col min="16128" max="16128" width="56.7109375" style="35" bestFit="1" customWidth="1"/>
    <col min="16129" max="16129" width="11.42578125" style="35" customWidth="1"/>
    <col min="16130" max="16130" width="11.28515625" style="35" bestFit="1" customWidth="1"/>
    <col min="16131" max="16384" width="9.140625" style="35"/>
  </cols>
  <sheetData>
    <row r="1" spans="1:25" ht="15" x14ac:dyDescent="0.25">
      <c r="A1" s="39" t="s">
        <v>85</v>
      </c>
    </row>
    <row r="2" spans="1:25" ht="15" x14ac:dyDescent="0.25">
      <c r="A2" s="39" t="s">
        <v>163</v>
      </c>
    </row>
    <row r="3" spans="1:25" ht="15" x14ac:dyDescent="0.25">
      <c r="A3" s="39" t="s">
        <v>86</v>
      </c>
    </row>
    <row r="7" spans="1:25" ht="15.75" x14ac:dyDescent="0.25">
      <c r="A7" s="36" t="s">
        <v>157</v>
      </c>
      <c r="B7" s="37"/>
    </row>
    <row r="8" spans="1:25" ht="15.75" x14ac:dyDescent="0.25">
      <c r="A8" s="38" t="s">
        <v>153</v>
      </c>
      <c r="B8" s="37"/>
      <c r="G8" s="122">
        <v>43048</v>
      </c>
    </row>
    <row r="10" spans="1:25" ht="13.5" thickBot="1" x14ac:dyDescent="0.25"/>
    <row r="11" spans="1:25" s="39" customFormat="1" ht="27.75" customHeight="1" thickBot="1" x14ac:dyDescent="0.3">
      <c r="A11" s="61" t="s">
        <v>87</v>
      </c>
      <c r="B11" s="60" t="s">
        <v>88</v>
      </c>
      <c r="C11" s="62" t="s">
        <v>155</v>
      </c>
      <c r="D11" s="64" t="s">
        <v>161</v>
      </c>
      <c r="E11" s="65" t="s">
        <v>162</v>
      </c>
      <c r="F11" s="77" t="s">
        <v>165</v>
      </c>
      <c r="G11" s="104" t="s">
        <v>172</v>
      </c>
      <c r="T11" s="115"/>
      <c r="U11" s="115"/>
    </row>
    <row r="12" spans="1:25" ht="19.5" customHeight="1" x14ac:dyDescent="0.2">
      <c r="A12" s="40">
        <v>3112</v>
      </c>
      <c r="B12" s="41" t="s">
        <v>89</v>
      </c>
      <c r="C12" s="78">
        <v>7600000</v>
      </c>
      <c r="D12" s="80">
        <v>3533362</v>
      </c>
      <c r="E12" s="84">
        <f>(D12/C12)*100</f>
        <v>46.491605263157894</v>
      </c>
      <c r="F12" s="88"/>
      <c r="G12" s="117">
        <v>9250000</v>
      </c>
      <c r="H12" s="105" t="s">
        <v>191</v>
      </c>
      <c r="R12" s="115"/>
      <c r="S12" s="115" t="s">
        <v>183</v>
      </c>
      <c r="T12" s="115" t="s">
        <v>184</v>
      </c>
      <c r="U12" s="115" t="s">
        <v>188</v>
      </c>
      <c r="W12" s="115" t="s">
        <v>189</v>
      </c>
      <c r="X12" s="115" t="s">
        <v>190</v>
      </c>
      <c r="Y12" s="112" t="s">
        <v>192</v>
      </c>
    </row>
    <row r="13" spans="1:25" ht="19.5" customHeight="1" x14ac:dyDescent="0.2">
      <c r="A13" s="42">
        <v>31120</v>
      </c>
      <c r="B13" s="43" t="s">
        <v>90</v>
      </c>
      <c r="C13" s="78">
        <v>5100000</v>
      </c>
      <c r="D13" s="81">
        <f>2070082+128787</f>
        <v>2198869</v>
      </c>
      <c r="E13" s="85">
        <f t="shared" ref="E13:E27" si="0">(D13/C13)*100</f>
        <v>43.115078431372552</v>
      </c>
      <c r="F13" s="89"/>
      <c r="G13" s="117">
        <v>5380000</v>
      </c>
      <c r="R13" s="115" t="s">
        <v>185</v>
      </c>
      <c r="S13" s="116">
        <v>6556167.1900000004</v>
      </c>
      <c r="T13" s="116">
        <v>8072122.1299999999</v>
      </c>
      <c r="U13" s="116">
        <f>T13-S13</f>
        <v>1515954.9399999995</v>
      </c>
      <c r="W13" s="114">
        <v>7837914</v>
      </c>
      <c r="X13" s="114">
        <f>W13+U13</f>
        <v>9353868.9399999995</v>
      </c>
      <c r="Y13" s="114">
        <f>X13-100000</f>
        <v>9253868.9399999995</v>
      </c>
    </row>
    <row r="14" spans="1:25" ht="19.5" customHeight="1" x14ac:dyDescent="0.2">
      <c r="A14" s="42">
        <v>31121</v>
      </c>
      <c r="B14" s="43" t="s">
        <v>91</v>
      </c>
      <c r="C14" s="78">
        <v>20000</v>
      </c>
      <c r="D14" s="81">
        <v>6100</v>
      </c>
      <c r="E14" s="85">
        <f t="shared" si="0"/>
        <v>30.5</v>
      </c>
      <c r="F14" s="89"/>
      <c r="G14" s="117">
        <v>20000</v>
      </c>
      <c r="R14" s="115" t="s">
        <v>186</v>
      </c>
      <c r="S14" s="116">
        <v>2467132.71</v>
      </c>
      <c r="T14" s="116">
        <v>3393925.76</v>
      </c>
      <c r="U14" s="116">
        <f>T14-S14</f>
        <v>926793.04999999981</v>
      </c>
      <c r="W14" s="114">
        <v>4125331</v>
      </c>
      <c r="X14" s="114">
        <f>W14+U14</f>
        <v>5052124.05</v>
      </c>
      <c r="Y14" s="114">
        <f>X14+X15-50000</f>
        <v>5387100.5199999996</v>
      </c>
    </row>
    <row r="15" spans="1:25" ht="19.5" customHeight="1" x14ac:dyDescent="0.2">
      <c r="A15" s="44">
        <v>31</v>
      </c>
      <c r="B15" s="45" t="s">
        <v>92</v>
      </c>
      <c r="C15" s="79">
        <f>C12+C13+C14</f>
        <v>12720000</v>
      </c>
      <c r="D15" s="82">
        <f>D12+D13+D14</f>
        <v>5738331</v>
      </c>
      <c r="E15" s="86">
        <f t="shared" si="0"/>
        <v>45.112665094339619</v>
      </c>
      <c r="F15" s="89"/>
      <c r="G15" s="118">
        <f>G12+G13+G14</f>
        <v>14650000</v>
      </c>
      <c r="R15" s="115" t="s">
        <v>187</v>
      </c>
      <c r="S15" s="116">
        <v>152436.42000000001</v>
      </c>
      <c r="T15" s="116">
        <v>284927.89</v>
      </c>
      <c r="U15" s="116">
        <f t="shared" ref="U15" si="1">T15-S15</f>
        <v>132491.47</v>
      </c>
      <c r="W15" s="114">
        <v>252485</v>
      </c>
      <c r="X15" s="114">
        <f>W15+U15</f>
        <v>384976.47</v>
      </c>
    </row>
    <row r="16" spans="1:25" ht="19.5" customHeight="1" x14ac:dyDescent="0.2">
      <c r="A16" s="42">
        <v>3413</v>
      </c>
      <c r="B16" s="43" t="s">
        <v>93</v>
      </c>
      <c r="C16" s="78">
        <v>350000</v>
      </c>
      <c r="D16" s="81">
        <v>80456</v>
      </c>
      <c r="E16" s="85">
        <f t="shared" si="0"/>
        <v>22.987428571428573</v>
      </c>
      <c r="F16" s="89" t="s">
        <v>168</v>
      </c>
      <c r="G16" s="117">
        <v>140000</v>
      </c>
      <c r="T16" s="115"/>
      <c r="U16" s="115"/>
    </row>
    <row r="17" spans="1:7" ht="19.5" customHeight="1" x14ac:dyDescent="0.2">
      <c r="A17" s="42">
        <v>3414</v>
      </c>
      <c r="B17" s="43" t="s">
        <v>154</v>
      </c>
      <c r="C17" s="78">
        <v>90000</v>
      </c>
      <c r="D17" s="81">
        <v>16041</v>
      </c>
      <c r="E17" s="85">
        <f t="shared" si="0"/>
        <v>17.823333333333334</v>
      </c>
      <c r="F17" s="89"/>
      <c r="G17" s="117">
        <v>90000</v>
      </c>
    </row>
    <row r="18" spans="1:7" ht="19.5" customHeight="1" x14ac:dyDescent="0.2">
      <c r="A18" s="42">
        <v>3415</v>
      </c>
      <c r="B18" s="43" t="s">
        <v>94</v>
      </c>
      <c r="C18" s="78">
        <v>20000</v>
      </c>
      <c r="D18" s="81">
        <v>0</v>
      </c>
      <c r="E18" s="85">
        <f t="shared" si="0"/>
        <v>0</v>
      </c>
      <c r="F18" s="89" t="s">
        <v>166</v>
      </c>
      <c r="G18" s="117">
        <v>20000</v>
      </c>
    </row>
    <row r="19" spans="1:7" ht="19.5" customHeight="1" x14ac:dyDescent="0.2">
      <c r="A19" s="44">
        <v>341</v>
      </c>
      <c r="B19" s="45" t="s">
        <v>95</v>
      </c>
      <c r="C19" s="79">
        <f>C16+C17+C18</f>
        <v>460000</v>
      </c>
      <c r="D19" s="82">
        <f>D16+D17+D18</f>
        <v>96497</v>
      </c>
      <c r="E19" s="86">
        <f t="shared" si="0"/>
        <v>20.977608695652176</v>
      </c>
      <c r="F19" s="89"/>
      <c r="G19" s="118">
        <f>G16+G17+G18</f>
        <v>250000</v>
      </c>
    </row>
    <row r="20" spans="1:7" ht="19.5" customHeight="1" x14ac:dyDescent="0.2">
      <c r="A20" s="42">
        <v>3511</v>
      </c>
      <c r="B20" s="43" t="s">
        <v>158</v>
      </c>
      <c r="C20" s="78">
        <f>C61+C62+C67</f>
        <v>24700000</v>
      </c>
      <c r="D20" s="81">
        <v>10363572</v>
      </c>
      <c r="E20" s="85">
        <f t="shared" si="0"/>
        <v>41.957781376518213</v>
      </c>
      <c r="F20" s="89"/>
      <c r="G20" s="117">
        <f>G61+G62+G67</f>
        <v>20575000</v>
      </c>
    </row>
    <row r="21" spans="1:7" ht="17.25" hidden="1" customHeight="1" x14ac:dyDescent="0.2">
      <c r="A21" s="42">
        <v>3512</v>
      </c>
      <c r="B21" s="43" t="s">
        <v>96</v>
      </c>
      <c r="C21" s="78"/>
      <c r="D21" s="81"/>
      <c r="E21" s="85" t="e">
        <f t="shared" si="0"/>
        <v>#DIV/0!</v>
      </c>
      <c r="F21" s="89"/>
      <c r="G21" s="119"/>
    </row>
    <row r="22" spans="1:7" ht="19.5" customHeight="1" x14ac:dyDescent="0.2">
      <c r="A22" s="42">
        <v>3511</v>
      </c>
      <c r="B22" s="43" t="s">
        <v>159</v>
      </c>
      <c r="C22" s="78">
        <v>40000000</v>
      </c>
      <c r="D22" s="81">
        <f>19676441+950</f>
        <v>19677391</v>
      </c>
      <c r="E22" s="85">
        <f t="shared" si="0"/>
        <v>49.1934775</v>
      </c>
      <c r="F22" s="89"/>
      <c r="G22" s="117">
        <v>40000000</v>
      </c>
    </row>
    <row r="23" spans="1:7" ht="19.5" customHeight="1" x14ac:dyDescent="0.2">
      <c r="A23" s="44">
        <v>351</v>
      </c>
      <c r="B23" s="45" t="s">
        <v>97</v>
      </c>
      <c r="C23" s="79">
        <f>C20+C22</f>
        <v>64700000</v>
      </c>
      <c r="D23" s="82">
        <f>D20+D22</f>
        <v>30040963</v>
      </c>
      <c r="E23" s="86">
        <f t="shared" si="0"/>
        <v>46.431163833075736</v>
      </c>
      <c r="F23" s="89"/>
      <c r="G23" s="118">
        <f>G20+G22</f>
        <v>60575000</v>
      </c>
    </row>
    <row r="24" spans="1:7" ht="19.5" customHeight="1" x14ac:dyDescent="0.2">
      <c r="A24" s="44">
        <v>355</v>
      </c>
      <c r="B24" s="45" t="s">
        <v>98</v>
      </c>
      <c r="C24" s="79">
        <v>15000</v>
      </c>
      <c r="D24" s="81">
        <v>8947</v>
      </c>
      <c r="E24" s="86">
        <f t="shared" si="0"/>
        <v>59.646666666666668</v>
      </c>
      <c r="F24" s="89"/>
      <c r="G24" s="118">
        <v>15000</v>
      </c>
    </row>
    <row r="25" spans="1:7" ht="19.5" customHeight="1" x14ac:dyDescent="0.2">
      <c r="A25" s="44">
        <v>361</v>
      </c>
      <c r="B25" s="45" t="s">
        <v>156</v>
      </c>
      <c r="C25" s="79">
        <v>190000</v>
      </c>
      <c r="D25" s="81">
        <v>79024</v>
      </c>
      <c r="E25" s="86">
        <f t="shared" si="0"/>
        <v>41.591578947368419</v>
      </c>
      <c r="F25" s="89"/>
      <c r="G25" s="118">
        <v>190000</v>
      </c>
    </row>
    <row r="26" spans="1:7" ht="19.5" customHeight="1" thickBot="1" x14ac:dyDescent="0.25">
      <c r="A26" s="44">
        <v>363</v>
      </c>
      <c r="B26" s="45" t="s">
        <v>99</v>
      </c>
      <c r="C26" s="79">
        <v>15000</v>
      </c>
      <c r="D26" s="83">
        <v>25</v>
      </c>
      <c r="E26" s="87">
        <f t="shared" si="0"/>
        <v>0.16666666666666669</v>
      </c>
      <c r="F26" s="90"/>
      <c r="G26" s="118">
        <v>15000</v>
      </c>
    </row>
    <row r="27" spans="1:7" s="39" customFormat="1" ht="21.75" customHeight="1" thickBot="1" x14ac:dyDescent="0.3">
      <c r="A27" s="46"/>
      <c r="B27" s="60" t="s">
        <v>100</v>
      </c>
      <c r="C27" s="59">
        <f>+C15+C19+C23+C24+C26</f>
        <v>77910000</v>
      </c>
      <c r="D27" s="63">
        <f>+D15+D19+D23+D24+D26+D25</f>
        <v>35963787</v>
      </c>
      <c r="E27" s="66">
        <f t="shared" si="0"/>
        <v>46.160681555641126</v>
      </c>
      <c r="G27" s="107">
        <f>+G15+G19+G23+G24+G26+G25</f>
        <v>75695000</v>
      </c>
    </row>
    <row r="28" spans="1:7" ht="13.5" hidden="1" thickBot="1" x14ac:dyDescent="0.25">
      <c r="A28" s="47"/>
      <c r="B28" s="48"/>
      <c r="C28" s="67"/>
      <c r="D28" s="56"/>
      <c r="E28" s="56"/>
    </row>
    <row r="29" spans="1:7" ht="13.5" hidden="1" thickBot="1" x14ac:dyDescent="0.25">
      <c r="A29" s="47"/>
      <c r="B29" s="48"/>
      <c r="C29" s="68"/>
      <c r="D29" s="56"/>
      <c r="E29" s="56"/>
    </row>
    <row r="30" spans="1:7" ht="13.5" hidden="1" thickBot="1" x14ac:dyDescent="0.25">
      <c r="A30" s="47"/>
      <c r="B30" s="48"/>
      <c r="C30" s="69"/>
      <c r="D30" s="56"/>
      <c r="E30" s="56"/>
    </row>
    <row r="31" spans="1:7" s="39" customFormat="1" ht="27.75" customHeight="1" thickBot="1" x14ac:dyDescent="0.3">
      <c r="A31" s="61" t="s">
        <v>101</v>
      </c>
      <c r="B31" s="60" t="s">
        <v>102</v>
      </c>
      <c r="C31" s="62" t="s">
        <v>155</v>
      </c>
      <c r="D31" s="64" t="s">
        <v>161</v>
      </c>
      <c r="E31" s="65" t="s">
        <v>162</v>
      </c>
      <c r="F31" s="77" t="s">
        <v>165</v>
      </c>
      <c r="G31" s="104" t="s">
        <v>172</v>
      </c>
    </row>
    <row r="32" spans="1:7" ht="19.5" customHeight="1" x14ac:dyDescent="0.2">
      <c r="A32" s="49">
        <v>411</v>
      </c>
      <c r="B32" s="50" t="s">
        <v>103</v>
      </c>
      <c r="C32" s="70">
        <v>2850000</v>
      </c>
      <c r="D32" s="93">
        <v>1271766</v>
      </c>
      <c r="E32" s="99">
        <f t="shared" ref="E32:E69" si="2">(D32/C32)*100</f>
        <v>44.623368421052632</v>
      </c>
      <c r="F32" s="88"/>
      <c r="G32" s="117">
        <v>2750000</v>
      </c>
    </row>
    <row r="33" spans="1:23" ht="19.5" customHeight="1" x14ac:dyDescent="0.2">
      <c r="A33" s="49">
        <v>412</v>
      </c>
      <c r="B33" s="50" t="s">
        <v>104</v>
      </c>
      <c r="C33" s="70">
        <v>90000</v>
      </c>
      <c r="D33" s="94">
        <v>1500</v>
      </c>
      <c r="E33" s="100">
        <f t="shared" si="2"/>
        <v>1.6666666666666667</v>
      </c>
      <c r="F33" s="89" t="s">
        <v>164</v>
      </c>
      <c r="G33" s="118">
        <v>90000</v>
      </c>
    </row>
    <row r="34" spans="1:23" ht="19.5" customHeight="1" x14ac:dyDescent="0.2">
      <c r="A34" s="49">
        <v>413</v>
      </c>
      <c r="B34" s="50" t="s">
        <v>105</v>
      </c>
      <c r="C34" s="70">
        <v>700000</v>
      </c>
      <c r="D34" s="94">
        <v>219047</v>
      </c>
      <c r="E34" s="100">
        <f t="shared" si="2"/>
        <v>31.292428571428569</v>
      </c>
      <c r="F34" s="89"/>
      <c r="G34" s="117">
        <v>490000</v>
      </c>
    </row>
    <row r="35" spans="1:23" ht="19.5" customHeight="1" x14ac:dyDescent="0.2">
      <c r="A35" s="51">
        <v>4211</v>
      </c>
      <c r="B35" s="52" t="s">
        <v>106</v>
      </c>
      <c r="C35" s="91">
        <v>150000</v>
      </c>
      <c r="D35" s="95">
        <f>5644+14491+3452+27276+176+24168+1234</f>
        <v>76441</v>
      </c>
      <c r="E35" s="101">
        <f t="shared" si="2"/>
        <v>50.960666666666668</v>
      </c>
      <c r="F35" s="89"/>
      <c r="G35" s="117">
        <v>150000</v>
      </c>
    </row>
    <row r="36" spans="1:23" ht="19.5" customHeight="1" x14ac:dyDescent="0.2">
      <c r="A36" s="51">
        <v>4212</v>
      </c>
      <c r="B36" s="52" t="s">
        <v>107</v>
      </c>
      <c r="C36" s="91">
        <v>75000</v>
      </c>
      <c r="D36" s="95">
        <f>27430</f>
        <v>27430</v>
      </c>
      <c r="E36" s="101">
        <f t="shared" si="2"/>
        <v>36.573333333333338</v>
      </c>
      <c r="F36" s="89"/>
      <c r="G36" s="117">
        <v>60000</v>
      </c>
    </row>
    <row r="37" spans="1:23" ht="19.5" customHeight="1" x14ac:dyDescent="0.2">
      <c r="A37" s="51">
        <v>4213</v>
      </c>
      <c r="B37" s="52" t="s">
        <v>108</v>
      </c>
      <c r="C37" s="91">
        <v>80000</v>
      </c>
      <c r="D37" s="95">
        <f>4230+6728</f>
        <v>10958</v>
      </c>
      <c r="E37" s="101">
        <f t="shared" si="2"/>
        <v>13.697500000000002</v>
      </c>
      <c r="F37" s="89"/>
      <c r="G37" s="117">
        <v>30000</v>
      </c>
    </row>
    <row r="38" spans="1:23" ht="19.5" customHeight="1" x14ac:dyDescent="0.2">
      <c r="A38" s="49">
        <v>421</v>
      </c>
      <c r="B38" s="50" t="s">
        <v>109</v>
      </c>
      <c r="C38" s="70">
        <f>SUM(C35:C37)</f>
        <v>305000</v>
      </c>
      <c r="D38" s="96">
        <f>SUM(D35:D37)</f>
        <v>114829</v>
      </c>
      <c r="E38" s="100">
        <f t="shared" si="2"/>
        <v>37.648852459016389</v>
      </c>
      <c r="F38" s="89"/>
      <c r="G38" s="118">
        <f>SUM(G35:G37)</f>
        <v>240000</v>
      </c>
    </row>
    <row r="39" spans="1:23" ht="19.5" customHeight="1" x14ac:dyDescent="0.2">
      <c r="A39" s="49">
        <v>422</v>
      </c>
      <c r="B39" s="50" t="s">
        <v>110</v>
      </c>
      <c r="C39" s="70">
        <v>350000</v>
      </c>
      <c r="D39" s="94">
        <v>139457</v>
      </c>
      <c r="E39" s="100">
        <f t="shared" si="2"/>
        <v>39.844857142857144</v>
      </c>
      <c r="F39" s="89"/>
      <c r="G39" s="118">
        <v>275000</v>
      </c>
      <c r="H39" s="35" t="s">
        <v>173</v>
      </c>
    </row>
    <row r="40" spans="1:23" ht="19.5" customHeight="1" x14ac:dyDescent="0.2">
      <c r="A40" s="49">
        <v>424</v>
      </c>
      <c r="B40" s="50" t="s">
        <v>27</v>
      </c>
      <c r="C40" s="70">
        <v>200000</v>
      </c>
      <c r="D40" s="94">
        <v>44921</v>
      </c>
      <c r="E40" s="100">
        <f t="shared" si="2"/>
        <v>22.4605</v>
      </c>
      <c r="F40" s="89" t="s">
        <v>167</v>
      </c>
      <c r="G40" s="118">
        <v>75000</v>
      </c>
      <c r="H40" s="111" t="s">
        <v>167</v>
      </c>
    </row>
    <row r="41" spans="1:23" ht="19.5" customHeight="1" x14ac:dyDescent="0.2">
      <c r="A41" s="51">
        <v>4251</v>
      </c>
      <c r="B41" s="52" t="s">
        <v>28</v>
      </c>
      <c r="C41" s="91">
        <v>100000</v>
      </c>
      <c r="D41" s="95">
        <f>3670+5336+32389+6593+960+1200</f>
        <v>50148</v>
      </c>
      <c r="E41" s="101">
        <f t="shared" si="2"/>
        <v>50.148000000000003</v>
      </c>
      <c r="F41" s="89"/>
      <c r="G41" s="117">
        <v>100000</v>
      </c>
      <c r="U41" s="121"/>
    </row>
    <row r="42" spans="1:23" ht="19.5" customHeight="1" x14ac:dyDescent="0.2">
      <c r="A42" s="51">
        <v>4252</v>
      </c>
      <c r="B42" s="52" t="s">
        <v>34</v>
      </c>
      <c r="C42" s="91">
        <v>3100000</v>
      </c>
      <c r="D42" s="95">
        <f>240+12402+1839+26175+22500+675000+83278+12250+105000</f>
        <v>938684</v>
      </c>
      <c r="E42" s="101">
        <f t="shared" si="2"/>
        <v>30.280129032258063</v>
      </c>
      <c r="F42" s="89" t="s">
        <v>171</v>
      </c>
      <c r="G42" s="117">
        <v>2600000</v>
      </c>
      <c r="U42" s="121">
        <f>0.3+13+5+37+39+33+1012+161+17+183</f>
        <v>1500.3</v>
      </c>
    </row>
    <row r="43" spans="1:23" ht="19.5" customHeight="1" x14ac:dyDescent="0.2">
      <c r="A43" s="51">
        <v>4253</v>
      </c>
      <c r="B43" s="52" t="s">
        <v>32</v>
      </c>
      <c r="C43" s="91">
        <v>375000</v>
      </c>
      <c r="D43" s="95">
        <f>5443+148859+14917+28482</f>
        <v>197701</v>
      </c>
      <c r="E43" s="101">
        <f t="shared" si="2"/>
        <v>52.720266666666674</v>
      </c>
      <c r="F43" s="89"/>
      <c r="G43" s="117">
        <v>330000</v>
      </c>
      <c r="U43" s="121" t="s">
        <v>193</v>
      </c>
    </row>
    <row r="44" spans="1:23" ht="19.5" customHeight="1" x14ac:dyDescent="0.2">
      <c r="A44" s="51">
        <v>4254</v>
      </c>
      <c r="B44" s="52" t="s">
        <v>46</v>
      </c>
      <c r="C44" s="91">
        <v>900000</v>
      </c>
      <c r="D44" s="95">
        <f>1920+119918+10130+23968+75236+104309</f>
        <v>335481</v>
      </c>
      <c r="E44" s="101">
        <f t="shared" si="2"/>
        <v>37.275666666666666</v>
      </c>
      <c r="F44" s="109" t="s">
        <v>170</v>
      </c>
      <c r="G44" s="117">
        <v>900000</v>
      </c>
      <c r="H44" s="35" t="s">
        <v>175</v>
      </c>
      <c r="M44" s="35" t="s">
        <v>177</v>
      </c>
      <c r="T44" s="35">
        <f>335+265+20+25+100+150</f>
        <v>895</v>
      </c>
      <c r="U44" s="121">
        <f>1+227+15+23+148+184</f>
        <v>598</v>
      </c>
      <c r="V44" s="112" t="s">
        <v>178</v>
      </c>
      <c r="W44" s="112">
        <f>30+30+20+20+15+15</f>
        <v>130</v>
      </c>
    </row>
    <row r="45" spans="1:23" ht="19.5" customHeight="1" x14ac:dyDescent="0.2">
      <c r="A45" s="51">
        <v>4255</v>
      </c>
      <c r="B45" s="52" t="s">
        <v>55</v>
      </c>
      <c r="C45" s="91">
        <v>30000</v>
      </c>
      <c r="D45" s="95">
        <f>10374</f>
        <v>10374</v>
      </c>
      <c r="E45" s="101">
        <f t="shared" si="2"/>
        <v>34.58</v>
      </c>
      <c r="F45" s="89"/>
      <c r="G45" s="117">
        <v>24000</v>
      </c>
      <c r="H45" s="35" t="s">
        <v>174</v>
      </c>
      <c r="U45" s="121"/>
    </row>
    <row r="46" spans="1:23" ht="19.5" customHeight="1" x14ac:dyDescent="0.2">
      <c r="A46" s="51">
        <v>4256</v>
      </c>
      <c r="B46" s="52" t="s">
        <v>111</v>
      </c>
      <c r="C46" s="91">
        <v>30000</v>
      </c>
      <c r="D46" s="95">
        <v>0</v>
      </c>
      <c r="E46" s="101">
        <f t="shared" si="2"/>
        <v>0</v>
      </c>
      <c r="F46" s="89"/>
      <c r="G46" s="117">
        <v>30000</v>
      </c>
      <c r="U46" s="121"/>
    </row>
    <row r="47" spans="1:23" ht="19.5" customHeight="1" x14ac:dyDescent="0.2">
      <c r="A47" s="51">
        <v>4257</v>
      </c>
      <c r="B47" s="52" t="s">
        <v>58</v>
      </c>
      <c r="C47" s="91">
        <v>1080000</v>
      </c>
      <c r="D47" s="95">
        <f>38693+77375+3362+180000</f>
        <v>299430</v>
      </c>
      <c r="E47" s="101">
        <f t="shared" si="2"/>
        <v>27.725000000000001</v>
      </c>
      <c r="F47" s="109" t="s">
        <v>169</v>
      </c>
      <c r="G47" s="117">
        <f>1080000-100000+162500+212500+24000+24000</f>
        <v>1403000</v>
      </c>
      <c r="H47" s="113" t="s">
        <v>180</v>
      </c>
      <c r="M47" s="35" t="s">
        <v>182</v>
      </c>
      <c r="R47" s="35">
        <f>299+80+50+20+60+150+135+140+50</f>
        <v>984</v>
      </c>
      <c r="U47" s="121">
        <f>240+136+3+108+137</f>
        <v>624</v>
      </c>
    </row>
    <row r="48" spans="1:23" ht="19.5" customHeight="1" x14ac:dyDescent="0.2">
      <c r="A48" s="51">
        <v>4258</v>
      </c>
      <c r="B48" s="52" t="s">
        <v>112</v>
      </c>
      <c r="C48" s="91">
        <v>20000</v>
      </c>
      <c r="D48" s="95">
        <v>18293</v>
      </c>
      <c r="E48" s="101">
        <f t="shared" si="2"/>
        <v>91.465000000000003</v>
      </c>
      <c r="F48" s="89"/>
      <c r="G48" s="117">
        <v>40000</v>
      </c>
      <c r="U48" s="121"/>
    </row>
    <row r="49" spans="1:21" ht="19.5" customHeight="1" x14ac:dyDescent="0.2">
      <c r="A49" s="51">
        <v>4259</v>
      </c>
      <c r="B49" s="52" t="s">
        <v>113</v>
      </c>
      <c r="C49" s="91">
        <v>40000</v>
      </c>
      <c r="D49" s="95">
        <f>1890+2732</f>
        <v>4622</v>
      </c>
      <c r="E49" s="101">
        <f t="shared" si="2"/>
        <v>11.555</v>
      </c>
      <c r="F49" s="89"/>
      <c r="G49" s="117">
        <v>25000</v>
      </c>
      <c r="U49" s="121"/>
    </row>
    <row r="50" spans="1:21" ht="19.5" customHeight="1" x14ac:dyDescent="0.2">
      <c r="A50" s="49">
        <v>425</v>
      </c>
      <c r="B50" s="50" t="s">
        <v>114</v>
      </c>
      <c r="C50" s="70">
        <f>SUM(C41:C49)</f>
        <v>5675000</v>
      </c>
      <c r="D50" s="96">
        <f>SUM(D41:D49)</f>
        <v>1854733</v>
      </c>
      <c r="E50" s="100">
        <f>(D50/C50)*100</f>
        <v>32.682519823788546</v>
      </c>
      <c r="F50" s="89"/>
      <c r="G50" s="118">
        <f>SUM(G41:G49)</f>
        <v>5452000</v>
      </c>
      <c r="U50" s="121"/>
    </row>
    <row r="51" spans="1:21" ht="17.25" customHeight="1" x14ac:dyDescent="0.2">
      <c r="A51" s="53">
        <v>426</v>
      </c>
      <c r="B51" s="54" t="s">
        <v>79</v>
      </c>
      <c r="C51" s="92">
        <v>600000</v>
      </c>
      <c r="D51" s="97">
        <f>10502+7464+13360+1963+206590+18757</f>
        <v>258636</v>
      </c>
      <c r="E51" s="102">
        <f t="shared" si="2"/>
        <v>43.106000000000002</v>
      </c>
      <c r="F51" s="110" t="s">
        <v>179</v>
      </c>
      <c r="G51" s="120">
        <v>600000</v>
      </c>
      <c r="M51" s="35" t="s">
        <v>176</v>
      </c>
      <c r="R51" s="35">
        <f>258+15+10+25+3+300+25</f>
        <v>636</v>
      </c>
    </row>
    <row r="52" spans="1:21" ht="19.5" customHeight="1" x14ac:dyDescent="0.2">
      <c r="A52" s="51">
        <v>4291</v>
      </c>
      <c r="B52" s="52" t="s">
        <v>115</v>
      </c>
      <c r="C52" s="91">
        <v>50000</v>
      </c>
      <c r="D52" s="95">
        <f>4665+5661</f>
        <v>10326</v>
      </c>
      <c r="E52" s="101">
        <f t="shared" si="2"/>
        <v>20.652000000000001</v>
      </c>
      <c r="F52" s="89"/>
      <c r="G52" s="117">
        <v>50000</v>
      </c>
    </row>
    <row r="53" spans="1:21" ht="19.5" customHeight="1" x14ac:dyDescent="0.2">
      <c r="A53" s="51">
        <v>4292</v>
      </c>
      <c r="B53" s="52" t="s">
        <v>116</v>
      </c>
      <c r="C53" s="91">
        <v>35000</v>
      </c>
      <c r="D53" s="95">
        <f>1984+14815</f>
        <v>16799</v>
      </c>
      <c r="E53" s="101">
        <f t="shared" si="2"/>
        <v>47.997142857142855</v>
      </c>
      <c r="F53" s="89"/>
      <c r="G53" s="117">
        <v>45000</v>
      </c>
    </row>
    <row r="54" spans="1:21" ht="19.5" customHeight="1" x14ac:dyDescent="0.2">
      <c r="A54" s="51">
        <v>4293</v>
      </c>
      <c r="B54" s="52" t="s">
        <v>117</v>
      </c>
      <c r="C54" s="91">
        <v>90000</v>
      </c>
      <c r="D54" s="95">
        <f>35610+35755</f>
        <v>71365</v>
      </c>
      <c r="E54" s="101">
        <f t="shared" si="2"/>
        <v>79.294444444444451</v>
      </c>
      <c r="F54" s="89"/>
      <c r="G54" s="117">
        <v>90000</v>
      </c>
    </row>
    <row r="55" spans="1:21" ht="19.5" customHeight="1" x14ac:dyDescent="0.2">
      <c r="A55" s="55" t="s">
        <v>118</v>
      </c>
      <c r="B55" s="52" t="s">
        <v>119</v>
      </c>
      <c r="C55" s="91">
        <v>5000</v>
      </c>
      <c r="D55" s="95">
        <v>2371</v>
      </c>
      <c r="E55" s="101">
        <f t="shared" si="2"/>
        <v>47.42</v>
      </c>
      <c r="F55" s="89"/>
      <c r="G55" s="117">
        <v>5000</v>
      </c>
    </row>
    <row r="56" spans="1:21" ht="19.5" customHeight="1" x14ac:dyDescent="0.2">
      <c r="A56" s="49">
        <v>429</v>
      </c>
      <c r="B56" s="50" t="s">
        <v>119</v>
      </c>
      <c r="C56" s="70">
        <f>SUM(C52:C55)</f>
        <v>180000</v>
      </c>
      <c r="D56" s="96">
        <f>SUM(D52:D55)</f>
        <v>100861</v>
      </c>
      <c r="E56" s="100">
        <f t="shared" si="2"/>
        <v>56.033888888888896</v>
      </c>
      <c r="F56" s="89"/>
      <c r="G56" s="118">
        <f>SUM(G52:G55)</f>
        <v>190000</v>
      </c>
    </row>
    <row r="57" spans="1:21" ht="19.5" customHeight="1" x14ac:dyDescent="0.2">
      <c r="A57" s="51">
        <v>4311</v>
      </c>
      <c r="B57" s="52" t="s">
        <v>120</v>
      </c>
      <c r="C57" s="91">
        <v>200000</v>
      </c>
      <c r="D57" s="95">
        <v>0</v>
      </c>
      <c r="E57" s="101">
        <f t="shared" si="2"/>
        <v>0</v>
      </c>
      <c r="F57" s="89"/>
      <c r="G57" s="117">
        <v>200000</v>
      </c>
    </row>
    <row r="58" spans="1:21" ht="19.5" customHeight="1" x14ac:dyDescent="0.2">
      <c r="A58" s="51">
        <v>43110</v>
      </c>
      <c r="B58" s="52" t="s">
        <v>149</v>
      </c>
      <c r="C58" s="91">
        <v>40000000</v>
      </c>
      <c r="D58" s="95">
        <v>19946173</v>
      </c>
      <c r="E58" s="101">
        <f t="shared" si="2"/>
        <v>49.865432500000004</v>
      </c>
      <c r="F58" s="89"/>
      <c r="G58" s="117">
        <v>40000000</v>
      </c>
    </row>
    <row r="59" spans="1:21" ht="19.5" customHeight="1" x14ac:dyDescent="0.2">
      <c r="A59" s="51">
        <v>43111</v>
      </c>
      <c r="B59" s="52" t="s">
        <v>160</v>
      </c>
      <c r="C59" s="91">
        <v>0</v>
      </c>
      <c r="D59" s="95">
        <v>0</v>
      </c>
      <c r="E59" s="101">
        <v>0</v>
      </c>
      <c r="F59" s="89"/>
      <c r="G59" s="117">
        <v>0</v>
      </c>
    </row>
    <row r="60" spans="1:21" ht="19.5" customHeight="1" x14ac:dyDescent="0.2">
      <c r="A60" s="49">
        <v>431</v>
      </c>
      <c r="B60" s="50" t="s">
        <v>121</v>
      </c>
      <c r="C60" s="70">
        <f>SUM(C57:C59)</f>
        <v>40200000</v>
      </c>
      <c r="D60" s="96">
        <f>SUM(D57:D59)</f>
        <v>19946173</v>
      </c>
      <c r="E60" s="100">
        <f t="shared" si="2"/>
        <v>49.617345771144279</v>
      </c>
      <c r="F60" s="89"/>
      <c r="G60" s="118">
        <f>SUM(G57:G59)</f>
        <v>40200000</v>
      </c>
    </row>
    <row r="61" spans="1:21" ht="19.5" customHeight="1" x14ac:dyDescent="0.2">
      <c r="A61" s="51">
        <v>44211</v>
      </c>
      <c r="B61" s="52" t="s">
        <v>122</v>
      </c>
      <c r="C61" s="91">
        <v>3900000</v>
      </c>
      <c r="D61" s="95">
        <v>338538</v>
      </c>
      <c r="E61" s="101">
        <f t="shared" si="2"/>
        <v>8.6804615384615378</v>
      </c>
      <c r="F61" s="89" t="s">
        <v>168</v>
      </c>
      <c r="G61" s="117">
        <v>620000</v>
      </c>
    </row>
    <row r="62" spans="1:21" ht="19.5" customHeight="1" x14ac:dyDescent="0.2">
      <c r="A62" s="51">
        <v>44212</v>
      </c>
      <c r="B62" s="52" t="s">
        <v>123</v>
      </c>
      <c r="C62" s="91">
        <v>20200000</v>
      </c>
      <c r="D62" s="95">
        <v>9719667</v>
      </c>
      <c r="E62" s="101">
        <f t="shared" si="2"/>
        <v>48.117163366336634</v>
      </c>
      <c r="F62" s="89"/>
      <c r="G62" s="117">
        <v>19450000</v>
      </c>
    </row>
    <row r="63" spans="1:21" ht="18.75" customHeight="1" x14ac:dyDescent="0.2">
      <c r="A63" s="51">
        <v>44213</v>
      </c>
      <c r="B63" s="52" t="s">
        <v>124</v>
      </c>
      <c r="C63" s="91">
        <v>0</v>
      </c>
      <c r="D63" s="95">
        <v>0</v>
      </c>
      <c r="E63" s="101">
        <v>0</v>
      </c>
      <c r="F63" s="89"/>
      <c r="G63" s="117">
        <v>0</v>
      </c>
    </row>
    <row r="64" spans="1:21" ht="20.25" customHeight="1" x14ac:dyDescent="0.2">
      <c r="A64" s="49">
        <v>442</v>
      </c>
      <c r="B64" s="50" t="s">
        <v>125</v>
      </c>
      <c r="C64" s="70">
        <f>SUM(C61:C63)</f>
        <v>24100000</v>
      </c>
      <c r="D64" s="96">
        <f>SUM(D61:D63)</f>
        <v>10058205</v>
      </c>
      <c r="E64" s="100">
        <f t="shared" si="2"/>
        <v>41.735290456431535</v>
      </c>
      <c r="F64" s="89"/>
      <c r="G64" s="118">
        <f>SUM(G61:G63)</f>
        <v>20070000</v>
      </c>
    </row>
    <row r="65" spans="1:8" ht="19.5" customHeight="1" x14ac:dyDescent="0.2">
      <c r="A65" s="51">
        <v>4431</v>
      </c>
      <c r="B65" s="52" t="s">
        <v>126</v>
      </c>
      <c r="C65" s="91">
        <v>40000</v>
      </c>
      <c r="D65" s="95">
        <v>8863</v>
      </c>
      <c r="E65" s="101">
        <f t="shared" si="2"/>
        <v>22.157499999999999</v>
      </c>
      <c r="F65" s="89"/>
      <c r="G65" s="117">
        <v>30000</v>
      </c>
    </row>
    <row r="66" spans="1:8" ht="19.5" customHeight="1" x14ac:dyDescent="0.2">
      <c r="A66" s="51">
        <v>4432</v>
      </c>
      <c r="B66" s="52" t="s">
        <v>127</v>
      </c>
      <c r="C66" s="91">
        <v>6800000</v>
      </c>
      <c r="D66" s="95">
        <v>0</v>
      </c>
      <c r="E66" s="101">
        <f t="shared" si="2"/>
        <v>0</v>
      </c>
      <c r="F66" s="89" t="s">
        <v>166</v>
      </c>
      <c r="G66" s="117">
        <v>6800000</v>
      </c>
      <c r="H66" s="35" t="s">
        <v>181</v>
      </c>
    </row>
    <row r="67" spans="1:8" ht="19.5" customHeight="1" x14ac:dyDescent="0.2">
      <c r="A67" s="51">
        <v>4430</v>
      </c>
      <c r="B67" s="52" t="s">
        <v>128</v>
      </c>
      <c r="C67" s="91">
        <v>600000</v>
      </c>
      <c r="D67" s="95">
        <v>260970</v>
      </c>
      <c r="E67" s="101">
        <f t="shared" si="2"/>
        <v>43.494999999999997</v>
      </c>
      <c r="F67" s="89"/>
      <c r="G67" s="117">
        <v>505000</v>
      </c>
    </row>
    <row r="68" spans="1:8" ht="19.5" customHeight="1" x14ac:dyDescent="0.2">
      <c r="A68" s="49">
        <v>443</v>
      </c>
      <c r="B68" s="50" t="s">
        <v>129</v>
      </c>
      <c r="C68" s="70">
        <f>SUM(C65:C67)</f>
        <v>7440000</v>
      </c>
      <c r="D68" s="96">
        <f>SUM(D65:D67)</f>
        <v>269833</v>
      </c>
      <c r="E68" s="100">
        <f t="shared" si="2"/>
        <v>3.6267876344086023</v>
      </c>
      <c r="F68" s="89"/>
      <c r="G68" s="118">
        <f>SUM(G65:G67)</f>
        <v>7335000</v>
      </c>
    </row>
    <row r="69" spans="1:8" ht="19.5" customHeight="1" thickBot="1" x14ac:dyDescent="0.25">
      <c r="A69" s="49">
        <v>462</v>
      </c>
      <c r="B69" s="50" t="s">
        <v>130</v>
      </c>
      <c r="C69" s="70">
        <v>5000</v>
      </c>
      <c r="D69" s="98">
        <v>1259</v>
      </c>
      <c r="E69" s="103">
        <f t="shared" si="2"/>
        <v>25.180000000000003</v>
      </c>
      <c r="F69" s="90"/>
      <c r="G69" s="118">
        <v>5000</v>
      </c>
    </row>
    <row r="70" spans="1:8" s="39" customFormat="1" ht="21.75" customHeight="1" thickBot="1" x14ac:dyDescent="0.3">
      <c r="A70" s="61"/>
      <c r="B70" s="60" t="s">
        <v>131</v>
      </c>
      <c r="C70" s="72">
        <f>+C32+C33+C34+C38+C39+C40+C51+C50+C56+C60+C64+C68+C69</f>
        <v>82695000</v>
      </c>
      <c r="D70" s="72">
        <f>+D32+D33+D34+D38+D39+D40+D51+D50+D56+D60+D64+D68+D69</f>
        <v>34281220</v>
      </c>
      <c r="E70" s="76">
        <f>(D70/C70)*100</f>
        <v>41.455009371787895</v>
      </c>
      <c r="G70" s="106">
        <f>+G32+G33+G34+G38+G39+G40+G51+G50+G56+G60+G64+G68+G69</f>
        <v>77772000</v>
      </c>
    </row>
    <row r="71" spans="1:8" s="39" customFormat="1" ht="21.75" customHeight="1" thickBot="1" x14ac:dyDescent="0.3">
      <c r="A71" s="73" t="s">
        <v>132</v>
      </c>
      <c r="B71" s="74" t="s">
        <v>133</v>
      </c>
      <c r="C71" s="75">
        <f>+C27-C70</f>
        <v>-4785000</v>
      </c>
      <c r="D71" s="75">
        <f>+D27-D70</f>
        <v>1682567</v>
      </c>
      <c r="E71" s="71"/>
      <c r="G71" s="108">
        <f>+G27-G70</f>
        <v>-2077000</v>
      </c>
    </row>
    <row r="72" spans="1:8" x14ac:dyDescent="0.2">
      <c r="A72" s="56"/>
    </row>
    <row r="73" spans="1:8" x14ac:dyDescent="0.2">
      <c r="A73" s="56"/>
    </row>
    <row r="74" spans="1:8" x14ac:dyDescent="0.2">
      <c r="A74" s="57"/>
      <c r="B74" s="56"/>
    </row>
    <row r="75" spans="1:8" x14ac:dyDescent="0.2">
      <c r="A75" s="57"/>
      <c r="B75" s="58"/>
    </row>
    <row r="76" spans="1:8" x14ac:dyDescent="0.2">
      <c r="A76" s="57"/>
      <c r="B76" s="56"/>
    </row>
    <row r="77" spans="1:8" x14ac:dyDescent="0.2">
      <c r="A77" s="56"/>
      <c r="B77" s="56"/>
    </row>
    <row r="78" spans="1:8" x14ac:dyDescent="0.2">
      <c r="A78" s="56"/>
      <c r="B78" s="56"/>
    </row>
    <row r="79" spans="1:8" x14ac:dyDescent="0.2">
      <c r="A79" s="56"/>
      <c r="B79" s="56"/>
    </row>
    <row r="80" spans="1:8" x14ac:dyDescent="0.2">
      <c r="A80" s="56"/>
    </row>
    <row r="81" spans="1:1" x14ac:dyDescent="0.2">
      <c r="A81" s="56"/>
    </row>
    <row r="82" spans="1:1" x14ac:dyDescent="0.2">
      <c r="A82" s="56"/>
    </row>
    <row r="83" spans="1:1" x14ac:dyDescent="0.2">
      <c r="A83" s="56"/>
    </row>
    <row r="84" spans="1:1" x14ac:dyDescent="0.2">
      <c r="A84" s="56"/>
    </row>
    <row r="85" spans="1:1" x14ac:dyDescent="0.2">
      <c r="A85" s="56"/>
    </row>
    <row r="86" spans="1:1" x14ac:dyDescent="0.2">
      <c r="A86" s="56"/>
    </row>
    <row r="87" spans="1:1" x14ac:dyDescent="0.2">
      <c r="A87" s="56"/>
    </row>
    <row r="88" spans="1:1" x14ac:dyDescent="0.2">
      <c r="A88" s="56"/>
    </row>
    <row r="89" spans="1:1" x14ac:dyDescent="0.2">
      <c r="A89" s="56"/>
    </row>
    <row r="90" spans="1:1" x14ac:dyDescent="0.2">
      <c r="A90" s="56"/>
    </row>
    <row r="91" spans="1:1" x14ac:dyDescent="0.2">
      <c r="A91" s="56"/>
    </row>
    <row r="92" spans="1:1" x14ac:dyDescent="0.2">
      <c r="A92" s="56"/>
    </row>
    <row r="93" spans="1:1" x14ac:dyDescent="0.2">
      <c r="A93" s="56"/>
    </row>
    <row r="94" spans="1:1" x14ac:dyDescent="0.2">
      <c r="A94" s="56"/>
    </row>
    <row r="95" spans="1:1" x14ac:dyDescent="0.2">
      <c r="A95" s="5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rowBreaks count="2" manualBreakCount="2">
    <brk id="27" max="16383" man="1"/>
    <brk id="5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B71" zoomScale="90" zoomScaleNormal="90" workbookViewId="0">
      <selection activeCell="H24" sqref="H24"/>
    </sheetView>
  </sheetViews>
  <sheetFormatPr defaultRowHeight="12.75" x14ac:dyDescent="0.2"/>
  <cols>
    <col min="1" max="1" width="6.5703125" style="35" customWidth="1"/>
    <col min="2" max="2" width="56.7109375" style="35" bestFit="1" customWidth="1"/>
    <col min="3" max="3" width="18.5703125" style="35" customWidth="1"/>
    <col min="4" max="4" width="18.140625" style="35" customWidth="1"/>
    <col min="5" max="5" width="6.28515625" style="35" hidden="1" customWidth="1"/>
    <col min="6" max="6" width="11.42578125" style="35" customWidth="1"/>
    <col min="7" max="7" width="4.85546875" style="35" customWidth="1"/>
    <col min="8" max="8" width="61.140625" style="35" customWidth="1"/>
    <col min="9" max="9" width="21.85546875" style="35" customWidth="1"/>
    <col min="10" max="10" width="12.5703125" style="35" bestFit="1" customWidth="1"/>
    <col min="11" max="11" width="12.42578125" style="35" bestFit="1" customWidth="1"/>
    <col min="12" max="240" width="9.140625" style="35"/>
    <col min="241" max="241" width="7.5703125" style="35" customWidth="1"/>
    <col min="242" max="242" width="56.7109375" style="35" bestFit="1" customWidth="1"/>
    <col min="243" max="243" width="11.42578125" style="35" customWidth="1"/>
    <col min="244" max="244" width="11.28515625" style="35" bestFit="1" customWidth="1"/>
    <col min="245" max="496" width="9.140625" style="35"/>
    <col min="497" max="497" width="7.5703125" style="35" customWidth="1"/>
    <col min="498" max="498" width="56.7109375" style="35" bestFit="1" customWidth="1"/>
    <col min="499" max="499" width="11.42578125" style="35" customWidth="1"/>
    <col min="500" max="500" width="11.28515625" style="35" bestFit="1" customWidth="1"/>
    <col min="501" max="752" width="9.140625" style="35"/>
    <col min="753" max="753" width="7.5703125" style="35" customWidth="1"/>
    <col min="754" max="754" width="56.7109375" style="35" bestFit="1" customWidth="1"/>
    <col min="755" max="755" width="11.42578125" style="35" customWidth="1"/>
    <col min="756" max="756" width="11.28515625" style="35" bestFit="1" customWidth="1"/>
    <col min="757" max="1008" width="9.140625" style="35"/>
    <col min="1009" max="1009" width="7.5703125" style="35" customWidth="1"/>
    <col min="1010" max="1010" width="56.7109375" style="35" bestFit="1" customWidth="1"/>
    <col min="1011" max="1011" width="11.42578125" style="35" customWidth="1"/>
    <col min="1012" max="1012" width="11.28515625" style="35" bestFit="1" customWidth="1"/>
    <col min="1013" max="1264" width="9.140625" style="35"/>
    <col min="1265" max="1265" width="7.5703125" style="35" customWidth="1"/>
    <col min="1266" max="1266" width="56.7109375" style="35" bestFit="1" customWidth="1"/>
    <col min="1267" max="1267" width="11.42578125" style="35" customWidth="1"/>
    <col min="1268" max="1268" width="11.28515625" style="35" bestFit="1" customWidth="1"/>
    <col min="1269" max="1520" width="9.140625" style="35"/>
    <col min="1521" max="1521" width="7.5703125" style="35" customWidth="1"/>
    <col min="1522" max="1522" width="56.7109375" style="35" bestFit="1" customWidth="1"/>
    <col min="1523" max="1523" width="11.42578125" style="35" customWidth="1"/>
    <col min="1524" max="1524" width="11.28515625" style="35" bestFit="1" customWidth="1"/>
    <col min="1525" max="1776" width="9.140625" style="35"/>
    <col min="1777" max="1777" width="7.5703125" style="35" customWidth="1"/>
    <col min="1778" max="1778" width="56.7109375" style="35" bestFit="1" customWidth="1"/>
    <col min="1779" max="1779" width="11.42578125" style="35" customWidth="1"/>
    <col min="1780" max="1780" width="11.28515625" style="35" bestFit="1" customWidth="1"/>
    <col min="1781" max="2032" width="9.140625" style="35"/>
    <col min="2033" max="2033" width="7.5703125" style="35" customWidth="1"/>
    <col min="2034" max="2034" width="56.7109375" style="35" bestFit="1" customWidth="1"/>
    <col min="2035" max="2035" width="11.42578125" style="35" customWidth="1"/>
    <col min="2036" max="2036" width="11.28515625" style="35" bestFit="1" customWidth="1"/>
    <col min="2037" max="2288" width="9.140625" style="35"/>
    <col min="2289" max="2289" width="7.5703125" style="35" customWidth="1"/>
    <col min="2290" max="2290" width="56.7109375" style="35" bestFit="1" customWidth="1"/>
    <col min="2291" max="2291" width="11.42578125" style="35" customWidth="1"/>
    <col min="2292" max="2292" width="11.28515625" style="35" bestFit="1" customWidth="1"/>
    <col min="2293" max="2544" width="9.140625" style="35"/>
    <col min="2545" max="2545" width="7.5703125" style="35" customWidth="1"/>
    <col min="2546" max="2546" width="56.7109375" style="35" bestFit="1" customWidth="1"/>
    <col min="2547" max="2547" width="11.42578125" style="35" customWidth="1"/>
    <col min="2548" max="2548" width="11.28515625" style="35" bestFit="1" customWidth="1"/>
    <col min="2549" max="2800" width="9.140625" style="35"/>
    <col min="2801" max="2801" width="7.5703125" style="35" customWidth="1"/>
    <col min="2802" max="2802" width="56.7109375" style="35" bestFit="1" customWidth="1"/>
    <col min="2803" max="2803" width="11.42578125" style="35" customWidth="1"/>
    <col min="2804" max="2804" width="11.28515625" style="35" bestFit="1" customWidth="1"/>
    <col min="2805" max="3056" width="9.140625" style="35"/>
    <col min="3057" max="3057" width="7.5703125" style="35" customWidth="1"/>
    <col min="3058" max="3058" width="56.7109375" style="35" bestFit="1" customWidth="1"/>
    <col min="3059" max="3059" width="11.42578125" style="35" customWidth="1"/>
    <col min="3060" max="3060" width="11.28515625" style="35" bestFit="1" customWidth="1"/>
    <col min="3061" max="3312" width="9.140625" style="35"/>
    <col min="3313" max="3313" width="7.5703125" style="35" customWidth="1"/>
    <col min="3314" max="3314" width="56.7109375" style="35" bestFit="1" customWidth="1"/>
    <col min="3315" max="3315" width="11.42578125" style="35" customWidth="1"/>
    <col min="3316" max="3316" width="11.28515625" style="35" bestFit="1" customWidth="1"/>
    <col min="3317" max="3568" width="9.140625" style="35"/>
    <col min="3569" max="3569" width="7.5703125" style="35" customWidth="1"/>
    <col min="3570" max="3570" width="56.7109375" style="35" bestFit="1" customWidth="1"/>
    <col min="3571" max="3571" width="11.42578125" style="35" customWidth="1"/>
    <col min="3572" max="3572" width="11.28515625" style="35" bestFit="1" customWidth="1"/>
    <col min="3573" max="3824" width="9.140625" style="35"/>
    <col min="3825" max="3825" width="7.5703125" style="35" customWidth="1"/>
    <col min="3826" max="3826" width="56.7109375" style="35" bestFit="1" customWidth="1"/>
    <col min="3827" max="3827" width="11.42578125" style="35" customWidth="1"/>
    <col min="3828" max="3828" width="11.28515625" style="35" bestFit="1" customWidth="1"/>
    <col min="3829" max="4080" width="9.140625" style="35"/>
    <col min="4081" max="4081" width="7.5703125" style="35" customWidth="1"/>
    <col min="4082" max="4082" width="56.7109375" style="35" bestFit="1" customWidth="1"/>
    <col min="4083" max="4083" width="11.42578125" style="35" customWidth="1"/>
    <col min="4084" max="4084" width="11.28515625" style="35" bestFit="1" customWidth="1"/>
    <col min="4085" max="4336" width="9.140625" style="35"/>
    <col min="4337" max="4337" width="7.5703125" style="35" customWidth="1"/>
    <col min="4338" max="4338" width="56.7109375" style="35" bestFit="1" customWidth="1"/>
    <col min="4339" max="4339" width="11.42578125" style="35" customWidth="1"/>
    <col min="4340" max="4340" width="11.28515625" style="35" bestFit="1" customWidth="1"/>
    <col min="4341" max="4592" width="9.140625" style="35"/>
    <col min="4593" max="4593" width="7.5703125" style="35" customWidth="1"/>
    <col min="4594" max="4594" width="56.7109375" style="35" bestFit="1" customWidth="1"/>
    <col min="4595" max="4595" width="11.42578125" style="35" customWidth="1"/>
    <col min="4596" max="4596" width="11.28515625" style="35" bestFit="1" customWidth="1"/>
    <col min="4597" max="4848" width="9.140625" style="35"/>
    <col min="4849" max="4849" width="7.5703125" style="35" customWidth="1"/>
    <col min="4850" max="4850" width="56.7109375" style="35" bestFit="1" customWidth="1"/>
    <col min="4851" max="4851" width="11.42578125" style="35" customWidth="1"/>
    <col min="4852" max="4852" width="11.28515625" style="35" bestFit="1" customWidth="1"/>
    <col min="4853" max="5104" width="9.140625" style="35"/>
    <col min="5105" max="5105" width="7.5703125" style="35" customWidth="1"/>
    <col min="5106" max="5106" width="56.7109375" style="35" bestFit="1" customWidth="1"/>
    <col min="5107" max="5107" width="11.42578125" style="35" customWidth="1"/>
    <col min="5108" max="5108" width="11.28515625" style="35" bestFit="1" customWidth="1"/>
    <col min="5109" max="5360" width="9.140625" style="35"/>
    <col min="5361" max="5361" width="7.5703125" style="35" customWidth="1"/>
    <col min="5362" max="5362" width="56.7109375" style="35" bestFit="1" customWidth="1"/>
    <col min="5363" max="5363" width="11.42578125" style="35" customWidth="1"/>
    <col min="5364" max="5364" width="11.28515625" style="35" bestFit="1" customWidth="1"/>
    <col min="5365" max="5616" width="9.140625" style="35"/>
    <col min="5617" max="5617" width="7.5703125" style="35" customWidth="1"/>
    <col min="5618" max="5618" width="56.7109375" style="35" bestFit="1" customWidth="1"/>
    <col min="5619" max="5619" width="11.42578125" style="35" customWidth="1"/>
    <col min="5620" max="5620" width="11.28515625" style="35" bestFit="1" customWidth="1"/>
    <col min="5621" max="5872" width="9.140625" style="35"/>
    <col min="5873" max="5873" width="7.5703125" style="35" customWidth="1"/>
    <col min="5874" max="5874" width="56.7109375" style="35" bestFit="1" customWidth="1"/>
    <col min="5875" max="5875" width="11.42578125" style="35" customWidth="1"/>
    <col min="5876" max="5876" width="11.28515625" style="35" bestFit="1" customWidth="1"/>
    <col min="5877" max="6128" width="9.140625" style="35"/>
    <col min="6129" max="6129" width="7.5703125" style="35" customWidth="1"/>
    <col min="6130" max="6130" width="56.7109375" style="35" bestFit="1" customWidth="1"/>
    <col min="6131" max="6131" width="11.42578125" style="35" customWidth="1"/>
    <col min="6132" max="6132" width="11.28515625" style="35" bestFit="1" customWidth="1"/>
    <col min="6133" max="6384" width="9.140625" style="35"/>
    <col min="6385" max="6385" width="7.5703125" style="35" customWidth="1"/>
    <col min="6386" max="6386" width="56.7109375" style="35" bestFit="1" customWidth="1"/>
    <col min="6387" max="6387" width="11.42578125" style="35" customWidth="1"/>
    <col min="6388" max="6388" width="11.28515625" style="35" bestFit="1" customWidth="1"/>
    <col min="6389" max="6640" width="9.140625" style="35"/>
    <col min="6641" max="6641" width="7.5703125" style="35" customWidth="1"/>
    <col min="6642" max="6642" width="56.7109375" style="35" bestFit="1" customWidth="1"/>
    <col min="6643" max="6643" width="11.42578125" style="35" customWidth="1"/>
    <col min="6644" max="6644" width="11.28515625" style="35" bestFit="1" customWidth="1"/>
    <col min="6645" max="6896" width="9.140625" style="35"/>
    <col min="6897" max="6897" width="7.5703125" style="35" customWidth="1"/>
    <col min="6898" max="6898" width="56.7109375" style="35" bestFit="1" customWidth="1"/>
    <col min="6899" max="6899" width="11.42578125" style="35" customWidth="1"/>
    <col min="6900" max="6900" width="11.28515625" style="35" bestFit="1" customWidth="1"/>
    <col min="6901" max="7152" width="9.140625" style="35"/>
    <col min="7153" max="7153" width="7.5703125" style="35" customWidth="1"/>
    <col min="7154" max="7154" width="56.7109375" style="35" bestFit="1" customWidth="1"/>
    <col min="7155" max="7155" width="11.42578125" style="35" customWidth="1"/>
    <col min="7156" max="7156" width="11.28515625" style="35" bestFit="1" customWidth="1"/>
    <col min="7157" max="7408" width="9.140625" style="35"/>
    <col min="7409" max="7409" width="7.5703125" style="35" customWidth="1"/>
    <col min="7410" max="7410" width="56.7109375" style="35" bestFit="1" customWidth="1"/>
    <col min="7411" max="7411" width="11.42578125" style="35" customWidth="1"/>
    <col min="7412" max="7412" width="11.28515625" style="35" bestFit="1" customWidth="1"/>
    <col min="7413" max="7664" width="9.140625" style="35"/>
    <col min="7665" max="7665" width="7.5703125" style="35" customWidth="1"/>
    <col min="7666" max="7666" width="56.7109375" style="35" bestFit="1" customWidth="1"/>
    <col min="7667" max="7667" width="11.42578125" style="35" customWidth="1"/>
    <col min="7668" max="7668" width="11.28515625" style="35" bestFit="1" customWidth="1"/>
    <col min="7669" max="7920" width="9.140625" style="35"/>
    <col min="7921" max="7921" width="7.5703125" style="35" customWidth="1"/>
    <col min="7922" max="7922" width="56.7109375" style="35" bestFit="1" customWidth="1"/>
    <col min="7923" max="7923" width="11.42578125" style="35" customWidth="1"/>
    <col min="7924" max="7924" width="11.28515625" style="35" bestFit="1" customWidth="1"/>
    <col min="7925" max="8176" width="9.140625" style="35"/>
    <col min="8177" max="8177" width="7.5703125" style="35" customWidth="1"/>
    <col min="8178" max="8178" width="56.7109375" style="35" bestFit="1" customWidth="1"/>
    <col min="8179" max="8179" width="11.42578125" style="35" customWidth="1"/>
    <col min="8180" max="8180" width="11.28515625" style="35" bestFit="1" customWidth="1"/>
    <col min="8181" max="8432" width="9.140625" style="35"/>
    <col min="8433" max="8433" width="7.5703125" style="35" customWidth="1"/>
    <col min="8434" max="8434" width="56.7109375" style="35" bestFit="1" customWidth="1"/>
    <col min="8435" max="8435" width="11.42578125" style="35" customWidth="1"/>
    <col min="8436" max="8436" width="11.28515625" style="35" bestFit="1" customWidth="1"/>
    <col min="8437" max="8688" width="9.140625" style="35"/>
    <col min="8689" max="8689" width="7.5703125" style="35" customWidth="1"/>
    <col min="8690" max="8690" width="56.7109375" style="35" bestFit="1" customWidth="1"/>
    <col min="8691" max="8691" width="11.42578125" style="35" customWidth="1"/>
    <col min="8692" max="8692" width="11.28515625" style="35" bestFit="1" customWidth="1"/>
    <col min="8693" max="8944" width="9.140625" style="35"/>
    <col min="8945" max="8945" width="7.5703125" style="35" customWidth="1"/>
    <col min="8946" max="8946" width="56.7109375" style="35" bestFit="1" customWidth="1"/>
    <col min="8947" max="8947" width="11.42578125" style="35" customWidth="1"/>
    <col min="8948" max="8948" width="11.28515625" style="35" bestFit="1" customWidth="1"/>
    <col min="8949" max="9200" width="9.140625" style="35"/>
    <col min="9201" max="9201" width="7.5703125" style="35" customWidth="1"/>
    <col min="9202" max="9202" width="56.7109375" style="35" bestFit="1" customWidth="1"/>
    <col min="9203" max="9203" width="11.42578125" style="35" customWidth="1"/>
    <col min="9204" max="9204" width="11.28515625" style="35" bestFit="1" customWidth="1"/>
    <col min="9205" max="9456" width="9.140625" style="35"/>
    <col min="9457" max="9457" width="7.5703125" style="35" customWidth="1"/>
    <col min="9458" max="9458" width="56.7109375" style="35" bestFit="1" customWidth="1"/>
    <col min="9459" max="9459" width="11.42578125" style="35" customWidth="1"/>
    <col min="9460" max="9460" width="11.28515625" style="35" bestFit="1" customWidth="1"/>
    <col min="9461" max="9712" width="9.140625" style="35"/>
    <col min="9713" max="9713" width="7.5703125" style="35" customWidth="1"/>
    <col min="9714" max="9714" width="56.7109375" style="35" bestFit="1" customWidth="1"/>
    <col min="9715" max="9715" width="11.42578125" style="35" customWidth="1"/>
    <col min="9716" max="9716" width="11.28515625" style="35" bestFit="1" customWidth="1"/>
    <col min="9717" max="9968" width="9.140625" style="35"/>
    <col min="9969" max="9969" width="7.5703125" style="35" customWidth="1"/>
    <col min="9970" max="9970" width="56.7109375" style="35" bestFit="1" customWidth="1"/>
    <col min="9971" max="9971" width="11.42578125" style="35" customWidth="1"/>
    <col min="9972" max="9972" width="11.28515625" style="35" bestFit="1" customWidth="1"/>
    <col min="9973" max="10224" width="9.140625" style="35"/>
    <col min="10225" max="10225" width="7.5703125" style="35" customWidth="1"/>
    <col min="10226" max="10226" width="56.7109375" style="35" bestFit="1" customWidth="1"/>
    <col min="10227" max="10227" width="11.42578125" style="35" customWidth="1"/>
    <col min="10228" max="10228" width="11.28515625" style="35" bestFit="1" customWidth="1"/>
    <col min="10229" max="10480" width="9.140625" style="35"/>
    <col min="10481" max="10481" width="7.5703125" style="35" customWidth="1"/>
    <col min="10482" max="10482" width="56.7109375" style="35" bestFit="1" customWidth="1"/>
    <col min="10483" max="10483" width="11.42578125" style="35" customWidth="1"/>
    <col min="10484" max="10484" width="11.28515625" style="35" bestFit="1" customWidth="1"/>
    <col min="10485" max="10736" width="9.140625" style="35"/>
    <col min="10737" max="10737" width="7.5703125" style="35" customWidth="1"/>
    <col min="10738" max="10738" width="56.7109375" style="35" bestFit="1" customWidth="1"/>
    <col min="10739" max="10739" width="11.42578125" style="35" customWidth="1"/>
    <col min="10740" max="10740" width="11.28515625" style="35" bestFit="1" customWidth="1"/>
    <col min="10741" max="10992" width="9.140625" style="35"/>
    <col min="10993" max="10993" width="7.5703125" style="35" customWidth="1"/>
    <col min="10994" max="10994" width="56.7109375" style="35" bestFit="1" customWidth="1"/>
    <col min="10995" max="10995" width="11.42578125" style="35" customWidth="1"/>
    <col min="10996" max="10996" width="11.28515625" style="35" bestFit="1" customWidth="1"/>
    <col min="10997" max="11248" width="9.140625" style="35"/>
    <col min="11249" max="11249" width="7.5703125" style="35" customWidth="1"/>
    <col min="11250" max="11250" width="56.7109375" style="35" bestFit="1" customWidth="1"/>
    <col min="11251" max="11251" width="11.42578125" style="35" customWidth="1"/>
    <col min="11252" max="11252" width="11.28515625" style="35" bestFit="1" customWidth="1"/>
    <col min="11253" max="11504" width="9.140625" style="35"/>
    <col min="11505" max="11505" width="7.5703125" style="35" customWidth="1"/>
    <col min="11506" max="11506" width="56.7109375" style="35" bestFit="1" customWidth="1"/>
    <col min="11507" max="11507" width="11.42578125" style="35" customWidth="1"/>
    <col min="11508" max="11508" width="11.28515625" style="35" bestFit="1" customWidth="1"/>
    <col min="11509" max="11760" width="9.140625" style="35"/>
    <col min="11761" max="11761" width="7.5703125" style="35" customWidth="1"/>
    <col min="11762" max="11762" width="56.7109375" style="35" bestFit="1" customWidth="1"/>
    <col min="11763" max="11763" width="11.42578125" style="35" customWidth="1"/>
    <col min="11764" max="11764" width="11.28515625" style="35" bestFit="1" customWidth="1"/>
    <col min="11765" max="12016" width="9.140625" style="35"/>
    <col min="12017" max="12017" width="7.5703125" style="35" customWidth="1"/>
    <col min="12018" max="12018" width="56.7109375" style="35" bestFit="1" customWidth="1"/>
    <col min="12019" max="12019" width="11.42578125" style="35" customWidth="1"/>
    <col min="12020" max="12020" width="11.28515625" style="35" bestFit="1" customWidth="1"/>
    <col min="12021" max="12272" width="9.140625" style="35"/>
    <col min="12273" max="12273" width="7.5703125" style="35" customWidth="1"/>
    <col min="12274" max="12274" width="56.7109375" style="35" bestFit="1" customWidth="1"/>
    <col min="12275" max="12275" width="11.42578125" style="35" customWidth="1"/>
    <col min="12276" max="12276" width="11.28515625" style="35" bestFit="1" customWidth="1"/>
    <col min="12277" max="12528" width="9.140625" style="35"/>
    <col min="12529" max="12529" width="7.5703125" style="35" customWidth="1"/>
    <col min="12530" max="12530" width="56.7109375" style="35" bestFit="1" customWidth="1"/>
    <col min="12531" max="12531" width="11.42578125" style="35" customWidth="1"/>
    <col min="12532" max="12532" width="11.28515625" style="35" bestFit="1" customWidth="1"/>
    <col min="12533" max="12784" width="9.140625" style="35"/>
    <col min="12785" max="12785" width="7.5703125" style="35" customWidth="1"/>
    <col min="12786" max="12786" width="56.7109375" style="35" bestFit="1" customWidth="1"/>
    <col min="12787" max="12787" width="11.42578125" style="35" customWidth="1"/>
    <col min="12788" max="12788" width="11.28515625" style="35" bestFit="1" customWidth="1"/>
    <col min="12789" max="13040" width="9.140625" style="35"/>
    <col min="13041" max="13041" width="7.5703125" style="35" customWidth="1"/>
    <col min="13042" max="13042" width="56.7109375" style="35" bestFit="1" customWidth="1"/>
    <col min="13043" max="13043" width="11.42578125" style="35" customWidth="1"/>
    <col min="13044" max="13044" width="11.28515625" style="35" bestFit="1" customWidth="1"/>
    <col min="13045" max="13296" width="9.140625" style="35"/>
    <col min="13297" max="13297" width="7.5703125" style="35" customWidth="1"/>
    <col min="13298" max="13298" width="56.7109375" style="35" bestFit="1" customWidth="1"/>
    <col min="13299" max="13299" width="11.42578125" style="35" customWidth="1"/>
    <col min="13300" max="13300" width="11.28515625" style="35" bestFit="1" customWidth="1"/>
    <col min="13301" max="13552" width="9.140625" style="35"/>
    <col min="13553" max="13553" width="7.5703125" style="35" customWidth="1"/>
    <col min="13554" max="13554" width="56.7109375" style="35" bestFit="1" customWidth="1"/>
    <col min="13555" max="13555" width="11.42578125" style="35" customWidth="1"/>
    <col min="13556" max="13556" width="11.28515625" style="35" bestFit="1" customWidth="1"/>
    <col min="13557" max="13808" width="9.140625" style="35"/>
    <col min="13809" max="13809" width="7.5703125" style="35" customWidth="1"/>
    <col min="13810" max="13810" width="56.7109375" style="35" bestFit="1" customWidth="1"/>
    <col min="13811" max="13811" width="11.42578125" style="35" customWidth="1"/>
    <col min="13812" max="13812" width="11.28515625" style="35" bestFit="1" customWidth="1"/>
    <col min="13813" max="14064" width="9.140625" style="35"/>
    <col min="14065" max="14065" width="7.5703125" style="35" customWidth="1"/>
    <col min="14066" max="14066" width="56.7109375" style="35" bestFit="1" customWidth="1"/>
    <col min="14067" max="14067" width="11.42578125" style="35" customWidth="1"/>
    <col min="14068" max="14068" width="11.28515625" style="35" bestFit="1" customWidth="1"/>
    <col min="14069" max="14320" width="9.140625" style="35"/>
    <col min="14321" max="14321" width="7.5703125" style="35" customWidth="1"/>
    <col min="14322" max="14322" width="56.7109375" style="35" bestFit="1" customWidth="1"/>
    <col min="14323" max="14323" width="11.42578125" style="35" customWidth="1"/>
    <col min="14324" max="14324" width="11.28515625" style="35" bestFit="1" customWidth="1"/>
    <col min="14325" max="14576" width="9.140625" style="35"/>
    <col min="14577" max="14577" width="7.5703125" style="35" customWidth="1"/>
    <col min="14578" max="14578" width="56.7109375" style="35" bestFit="1" customWidth="1"/>
    <col min="14579" max="14579" width="11.42578125" style="35" customWidth="1"/>
    <col min="14580" max="14580" width="11.28515625" style="35" bestFit="1" customWidth="1"/>
    <col min="14581" max="14832" width="9.140625" style="35"/>
    <col min="14833" max="14833" width="7.5703125" style="35" customWidth="1"/>
    <col min="14834" max="14834" width="56.7109375" style="35" bestFit="1" customWidth="1"/>
    <col min="14835" max="14835" width="11.42578125" style="35" customWidth="1"/>
    <col min="14836" max="14836" width="11.28515625" style="35" bestFit="1" customWidth="1"/>
    <col min="14837" max="15088" width="9.140625" style="35"/>
    <col min="15089" max="15089" width="7.5703125" style="35" customWidth="1"/>
    <col min="15090" max="15090" width="56.7109375" style="35" bestFit="1" customWidth="1"/>
    <col min="15091" max="15091" width="11.42578125" style="35" customWidth="1"/>
    <col min="15092" max="15092" width="11.28515625" style="35" bestFit="1" customWidth="1"/>
    <col min="15093" max="15344" width="9.140625" style="35"/>
    <col min="15345" max="15345" width="7.5703125" style="35" customWidth="1"/>
    <col min="15346" max="15346" width="56.7109375" style="35" bestFit="1" customWidth="1"/>
    <col min="15347" max="15347" width="11.42578125" style="35" customWidth="1"/>
    <col min="15348" max="15348" width="11.28515625" style="35" bestFit="1" customWidth="1"/>
    <col min="15349" max="15600" width="9.140625" style="35"/>
    <col min="15601" max="15601" width="7.5703125" style="35" customWidth="1"/>
    <col min="15602" max="15602" width="56.7109375" style="35" bestFit="1" customWidth="1"/>
    <col min="15603" max="15603" width="11.42578125" style="35" customWidth="1"/>
    <col min="15604" max="15604" width="11.28515625" style="35" bestFit="1" customWidth="1"/>
    <col min="15605" max="15856" width="9.140625" style="35"/>
    <col min="15857" max="15857" width="7.5703125" style="35" customWidth="1"/>
    <col min="15858" max="15858" width="56.7109375" style="35" bestFit="1" customWidth="1"/>
    <col min="15859" max="15859" width="11.42578125" style="35" customWidth="1"/>
    <col min="15860" max="15860" width="11.28515625" style="35" bestFit="1" customWidth="1"/>
    <col min="15861" max="16112" width="9.140625" style="35"/>
    <col min="16113" max="16113" width="7.5703125" style="35" customWidth="1"/>
    <col min="16114" max="16114" width="56.7109375" style="35" bestFit="1" customWidth="1"/>
    <col min="16115" max="16115" width="11.42578125" style="35" customWidth="1"/>
    <col min="16116" max="16116" width="11.28515625" style="35" bestFit="1" customWidth="1"/>
    <col min="16117" max="16384" width="9.140625" style="35"/>
  </cols>
  <sheetData>
    <row r="1" spans="1:11" ht="15" x14ac:dyDescent="0.25">
      <c r="A1" s="39" t="s">
        <v>85</v>
      </c>
    </row>
    <row r="2" spans="1:11" ht="15" x14ac:dyDescent="0.25">
      <c r="A2" s="39" t="s">
        <v>163</v>
      </c>
    </row>
    <row r="3" spans="1:11" ht="15" x14ac:dyDescent="0.25">
      <c r="A3" s="39" t="s">
        <v>86</v>
      </c>
    </row>
    <row r="6" spans="1:11" s="124" customFormat="1" ht="20.25" customHeight="1" x14ac:dyDescent="0.25">
      <c r="A6" s="223" t="s">
        <v>195</v>
      </c>
      <c r="B6" s="223"/>
      <c r="C6" s="223"/>
    </row>
    <row r="9" spans="1:11" s="39" customFormat="1" ht="36.75" customHeight="1" x14ac:dyDescent="0.25">
      <c r="A9" s="133" t="s">
        <v>87</v>
      </c>
      <c r="B9" s="134" t="s">
        <v>88</v>
      </c>
      <c r="C9" s="144" t="s">
        <v>194</v>
      </c>
      <c r="D9" s="144" t="s">
        <v>196</v>
      </c>
      <c r="E9" s="145" t="s">
        <v>165</v>
      </c>
      <c r="F9" s="146" t="s">
        <v>162</v>
      </c>
    </row>
    <row r="10" spans="1:11" ht="19.5" customHeight="1" x14ac:dyDescent="0.25">
      <c r="A10" s="129">
        <v>3112</v>
      </c>
      <c r="B10" s="43" t="s">
        <v>89</v>
      </c>
      <c r="C10" s="131">
        <v>9250000</v>
      </c>
      <c r="D10" s="127">
        <v>9678000</v>
      </c>
      <c r="E10" s="140"/>
      <c r="F10" s="142">
        <f t="shared" ref="F10:F25" si="0">(D10/C10)*100</f>
        <v>104.62702702702703</v>
      </c>
      <c r="G10" s="105"/>
      <c r="H10" s="155" t="s">
        <v>219</v>
      </c>
      <c r="I10" s="156">
        <v>2416000</v>
      </c>
      <c r="J10" s="115"/>
      <c r="K10" s="112"/>
    </row>
    <row r="11" spans="1:11" ht="19.5" customHeight="1" x14ac:dyDescent="0.25">
      <c r="A11" s="129">
        <v>31120</v>
      </c>
      <c r="B11" s="43" t="s">
        <v>90</v>
      </c>
      <c r="C11" s="131">
        <v>5380000</v>
      </c>
      <c r="D11" s="127">
        <f>5400000+560000</f>
        <v>5960000</v>
      </c>
      <c r="E11" s="140"/>
      <c r="F11" s="142">
        <f t="shared" si="0"/>
        <v>110.78066914498142</v>
      </c>
      <c r="H11" s="157" t="s">
        <v>197</v>
      </c>
      <c r="I11" s="158">
        <v>148000</v>
      </c>
      <c r="J11" s="114"/>
      <c r="K11" s="114"/>
    </row>
    <row r="12" spans="1:11" ht="19.5" customHeight="1" x14ac:dyDescent="0.25">
      <c r="A12" s="129">
        <v>31121</v>
      </c>
      <c r="B12" s="43" t="s">
        <v>91</v>
      </c>
      <c r="C12" s="131">
        <v>20000</v>
      </c>
      <c r="D12" s="127">
        <v>15000</v>
      </c>
      <c r="E12" s="140"/>
      <c r="F12" s="142">
        <f t="shared" si="0"/>
        <v>75</v>
      </c>
      <c r="H12" s="157" t="s">
        <v>198</v>
      </c>
      <c r="I12" s="158">
        <v>4197000</v>
      </c>
      <c r="J12" s="114"/>
      <c r="K12" s="114"/>
    </row>
    <row r="13" spans="1:11" ht="19.5" customHeight="1" x14ac:dyDescent="0.25">
      <c r="A13" s="130">
        <v>31</v>
      </c>
      <c r="B13" s="45" t="s">
        <v>92</v>
      </c>
      <c r="C13" s="132">
        <f>C10+C11+C12</f>
        <v>14650000</v>
      </c>
      <c r="D13" s="128">
        <f>D10+D11+D12</f>
        <v>15653000</v>
      </c>
      <c r="E13" s="140"/>
      <c r="F13" s="143">
        <f t="shared" si="0"/>
        <v>106.84641638225256</v>
      </c>
      <c r="H13" s="157" t="s">
        <v>199</v>
      </c>
      <c r="I13" s="158">
        <v>1847000</v>
      </c>
      <c r="J13" s="114"/>
    </row>
    <row r="14" spans="1:11" ht="24.75" customHeight="1" x14ac:dyDescent="0.25">
      <c r="A14" s="129">
        <v>3413</v>
      </c>
      <c r="B14" s="43" t="s">
        <v>93</v>
      </c>
      <c r="C14" s="131">
        <v>140000</v>
      </c>
      <c r="D14" s="127">
        <v>140000</v>
      </c>
      <c r="E14" s="140" t="s">
        <v>168</v>
      </c>
      <c r="F14" s="142">
        <f t="shared" si="0"/>
        <v>100</v>
      </c>
      <c r="H14" s="159" t="s">
        <v>200</v>
      </c>
      <c r="I14" s="160">
        <v>1070000</v>
      </c>
    </row>
    <row r="15" spans="1:11" ht="19.5" customHeight="1" x14ac:dyDescent="0.2">
      <c r="A15" s="129">
        <v>3414</v>
      </c>
      <c r="B15" s="43" t="s">
        <v>154</v>
      </c>
      <c r="C15" s="131">
        <v>90000</v>
      </c>
      <c r="D15" s="127">
        <v>90000</v>
      </c>
      <c r="E15" s="140"/>
      <c r="F15" s="142">
        <f t="shared" si="0"/>
        <v>100</v>
      </c>
    </row>
    <row r="16" spans="1:11" ht="19.5" customHeight="1" x14ac:dyDescent="0.2">
      <c r="A16" s="129">
        <v>3415</v>
      </c>
      <c r="B16" s="43" t="s">
        <v>94</v>
      </c>
      <c r="C16" s="131">
        <v>20000</v>
      </c>
      <c r="D16" s="127">
        <v>20000</v>
      </c>
      <c r="E16" s="140" t="s">
        <v>166</v>
      </c>
      <c r="F16" s="142">
        <f t="shared" si="0"/>
        <v>100</v>
      </c>
      <c r="H16" s="219" t="s">
        <v>201</v>
      </c>
      <c r="I16" s="219"/>
    </row>
    <row r="17" spans="1:9" ht="19.5" customHeight="1" x14ac:dyDescent="0.2">
      <c r="A17" s="130">
        <v>341</v>
      </c>
      <c r="B17" s="45" t="s">
        <v>95</v>
      </c>
      <c r="C17" s="132">
        <f>C14+C15+C16</f>
        <v>250000</v>
      </c>
      <c r="D17" s="128">
        <f>D14+D15+D16</f>
        <v>250000</v>
      </c>
      <c r="E17" s="140"/>
      <c r="F17" s="143">
        <f t="shared" si="0"/>
        <v>100</v>
      </c>
    </row>
    <row r="18" spans="1:9" ht="19.5" customHeight="1" x14ac:dyDescent="0.2">
      <c r="A18" s="129">
        <v>3511</v>
      </c>
      <c r="B18" s="43" t="s">
        <v>158</v>
      </c>
      <c r="C18" s="131">
        <f>C63+C64+C69</f>
        <v>20575000</v>
      </c>
      <c r="D18" s="127">
        <f>D63+D64+D69</f>
        <v>21000000</v>
      </c>
      <c r="E18" s="140"/>
      <c r="F18" s="142">
        <f t="shared" si="0"/>
        <v>102.06561360874848</v>
      </c>
    </row>
    <row r="19" spans="1:9" ht="17.25" hidden="1" customHeight="1" x14ac:dyDescent="0.2">
      <c r="A19" s="129">
        <v>3512</v>
      </c>
      <c r="B19" s="43" t="s">
        <v>96</v>
      </c>
      <c r="C19" s="131"/>
      <c r="D19" s="127"/>
      <c r="E19" s="140"/>
      <c r="F19" s="142" t="e">
        <f t="shared" si="0"/>
        <v>#DIV/0!</v>
      </c>
    </row>
    <row r="20" spans="1:9" ht="19.5" customHeight="1" x14ac:dyDescent="0.2">
      <c r="A20" s="129">
        <v>3511</v>
      </c>
      <c r="B20" s="43" t="s">
        <v>159</v>
      </c>
      <c r="C20" s="131">
        <v>40000000</v>
      </c>
      <c r="D20" s="127">
        <v>42500000</v>
      </c>
      <c r="E20" s="140"/>
      <c r="F20" s="142">
        <f t="shared" si="0"/>
        <v>106.25</v>
      </c>
      <c r="H20" s="219" t="s">
        <v>224</v>
      </c>
      <c r="I20" s="219"/>
    </row>
    <row r="21" spans="1:9" ht="19.5" customHeight="1" x14ac:dyDescent="0.2">
      <c r="A21" s="130">
        <v>351</v>
      </c>
      <c r="B21" s="45" t="s">
        <v>97</v>
      </c>
      <c r="C21" s="132">
        <f>C18+C20</f>
        <v>60575000</v>
      </c>
      <c r="D21" s="128">
        <f>D18+D20</f>
        <v>63500000</v>
      </c>
      <c r="E21" s="140"/>
      <c r="F21" s="143">
        <f t="shared" si="0"/>
        <v>104.82872472141973</v>
      </c>
    </row>
    <row r="22" spans="1:9" ht="19.5" customHeight="1" x14ac:dyDescent="0.2">
      <c r="A22" s="130">
        <v>355</v>
      </c>
      <c r="B22" s="45" t="s">
        <v>98</v>
      </c>
      <c r="C22" s="132">
        <v>15000</v>
      </c>
      <c r="D22" s="128">
        <f>15000+225000</f>
        <v>240000</v>
      </c>
      <c r="E22" s="140"/>
      <c r="F22" s="143">
        <f t="shared" si="0"/>
        <v>1600</v>
      </c>
      <c r="H22" s="219" t="s">
        <v>215</v>
      </c>
      <c r="I22" s="219"/>
    </row>
    <row r="23" spans="1:9" ht="19.5" customHeight="1" x14ac:dyDescent="0.2">
      <c r="A23" s="130">
        <v>361</v>
      </c>
      <c r="B23" s="45" t="s">
        <v>156</v>
      </c>
      <c r="C23" s="132">
        <v>190000</v>
      </c>
      <c r="D23" s="128">
        <v>160000</v>
      </c>
      <c r="E23" s="140"/>
      <c r="F23" s="143">
        <f t="shared" si="0"/>
        <v>84.210526315789465</v>
      </c>
      <c r="H23" s="220" t="s">
        <v>218</v>
      </c>
      <c r="I23" s="222"/>
    </row>
    <row r="24" spans="1:9" ht="19.5" customHeight="1" x14ac:dyDescent="0.2">
      <c r="A24" s="130">
        <v>363</v>
      </c>
      <c r="B24" s="45" t="s">
        <v>99</v>
      </c>
      <c r="C24" s="132">
        <v>15000</v>
      </c>
      <c r="D24" s="128">
        <v>15000</v>
      </c>
      <c r="E24" s="140"/>
      <c r="F24" s="143">
        <f t="shared" si="0"/>
        <v>100</v>
      </c>
    </row>
    <row r="25" spans="1:9" s="39" customFormat="1" ht="32.25" customHeight="1" x14ac:dyDescent="0.3">
      <c r="A25" s="134"/>
      <c r="B25" s="134" t="s">
        <v>100</v>
      </c>
      <c r="C25" s="147">
        <f>+C13+C17+C21+C22+C24+C23</f>
        <v>75695000</v>
      </c>
      <c r="D25" s="147">
        <f>+D13+D17+D21+D22+D24+D23</f>
        <v>79818000</v>
      </c>
      <c r="E25" s="148"/>
      <c r="F25" s="152">
        <f t="shared" si="0"/>
        <v>105.44685910562124</v>
      </c>
    </row>
    <row r="26" spans="1:9" s="111" customFormat="1" ht="12.75" customHeight="1" x14ac:dyDescent="0.3">
      <c r="A26" s="170"/>
      <c r="B26" s="170"/>
      <c r="C26" s="171"/>
      <c r="D26" s="172"/>
      <c r="E26" s="173"/>
      <c r="F26" s="174"/>
    </row>
    <row r="27" spans="1:9" s="111" customFormat="1" ht="12.75" customHeight="1" x14ac:dyDescent="0.3">
      <c r="A27" s="170"/>
      <c r="B27" s="170"/>
      <c r="C27" s="171"/>
      <c r="D27" s="172"/>
      <c r="E27" s="173"/>
      <c r="F27" s="174"/>
    </row>
    <row r="28" spans="1:9" s="111" customFormat="1" ht="12.75" customHeight="1" x14ac:dyDescent="0.3">
      <c r="A28" s="170"/>
      <c r="B28" s="170"/>
      <c r="C28" s="171"/>
      <c r="D28" s="172"/>
      <c r="E28" s="173"/>
      <c r="F28" s="174"/>
    </row>
    <row r="29" spans="1:9" ht="12.75" customHeight="1" x14ac:dyDescent="0.3">
      <c r="A29" s="170"/>
      <c r="B29" s="170"/>
      <c r="C29" s="171"/>
      <c r="D29" s="172"/>
      <c r="E29" s="173"/>
      <c r="F29" s="174"/>
    </row>
    <row r="30" spans="1:9" ht="12.75" customHeight="1" x14ac:dyDescent="0.3">
      <c r="A30" s="170"/>
      <c r="B30" s="170"/>
      <c r="C30" s="171"/>
      <c r="D30" s="172"/>
      <c r="E30" s="173"/>
      <c r="F30" s="174"/>
    </row>
    <row r="31" spans="1:9" ht="12.75" customHeight="1" x14ac:dyDescent="0.3">
      <c r="A31" s="170"/>
      <c r="B31" s="170"/>
      <c r="C31" s="171"/>
      <c r="D31" s="172"/>
      <c r="E31" s="173"/>
      <c r="F31" s="174"/>
    </row>
    <row r="32" spans="1:9" ht="12.75" customHeight="1" x14ac:dyDescent="0.3">
      <c r="A32" s="175"/>
      <c r="B32" s="175"/>
      <c r="C32" s="176"/>
      <c r="D32" s="177"/>
      <c r="E32" s="178"/>
      <c r="F32" s="179"/>
    </row>
    <row r="33" spans="1:11" s="39" customFormat="1" ht="34.5" customHeight="1" x14ac:dyDescent="0.25">
      <c r="A33" s="165" t="s">
        <v>101</v>
      </c>
      <c r="B33" s="166" t="s">
        <v>102</v>
      </c>
      <c r="C33" s="167" t="s">
        <v>194</v>
      </c>
      <c r="D33" s="167" t="s">
        <v>196</v>
      </c>
      <c r="E33" s="168" t="s">
        <v>165</v>
      </c>
      <c r="F33" s="169" t="s">
        <v>162</v>
      </c>
    </row>
    <row r="34" spans="1:11" ht="19.5" customHeight="1" x14ac:dyDescent="0.2">
      <c r="A34" s="135">
        <v>411</v>
      </c>
      <c r="B34" s="50" t="s">
        <v>103</v>
      </c>
      <c r="C34" s="132">
        <v>2750000</v>
      </c>
      <c r="D34" s="128">
        <v>3054000</v>
      </c>
      <c r="E34" s="123"/>
      <c r="F34" s="153">
        <f>(D34/C34)*100</f>
        <v>111.05454545454545</v>
      </c>
      <c r="H34" s="219" t="s">
        <v>220</v>
      </c>
      <c r="I34" s="219"/>
    </row>
    <row r="35" spans="1:11" ht="19.5" customHeight="1" x14ac:dyDescent="0.2">
      <c r="A35" s="135">
        <v>412</v>
      </c>
      <c r="B35" s="50" t="s">
        <v>104</v>
      </c>
      <c r="C35" s="132">
        <v>90000</v>
      </c>
      <c r="D35" s="128">
        <v>90000</v>
      </c>
      <c r="E35" s="52" t="s">
        <v>164</v>
      </c>
      <c r="F35" s="142">
        <f t="shared" ref="F35:F72" si="1">(D35/C35)*100</f>
        <v>100</v>
      </c>
    </row>
    <row r="36" spans="1:11" ht="19.5" customHeight="1" x14ac:dyDescent="0.2">
      <c r="A36" s="135">
        <v>413</v>
      </c>
      <c r="B36" s="50" t="s">
        <v>105</v>
      </c>
      <c r="C36" s="132">
        <v>490000</v>
      </c>
      <c r="D36" s="128">
        <v>517400</v>
      </c>
      <c r="E36" s="52"/>
      <c r="F36" s="142">
        <f t="shared" si="1"/>
        <v>105.59183673469389</v>
      </c>
    </row>
    <row r="37" spans="1:11" ht="19.5" customHeight="1" x14ac:dyDescent="0.2">
      <c r="A37" s="126">
        <v>4211</v>
      </c>
      <c r="B37" s="52" t="s">
        <v>106</v>
      </c>
      <c r="C37" s="131">
        <v>150000</v>
      </c>
      <c r="D37" s="127">
        <v>182000</v>
      </c>
      <c r="E37" s="52"/>
      <c r="F37" s="142">
        <f t="shared" si="1"/>
        <v>121.33333333333334</v>
      </c>
      <c r="H37" s="219" t="s">
        <v>202</v>
      </c>
      <c r="I37" s="219"/>
    </row>
    <row r="38" spans="1:11" ht="19.5" customHeight="1" x14ac:dyDescent="0.2">
      <c r="A38" s="126">
        <v>4212</v>
      </c>
      <c r="B38" s="52" t="s">
        <v>107</v>
      </c>
      <c r="C38" s="131">
        <v>60000</v>
      </c>
      <c r="D38" s="127">
        <v>60000</v>
      </c>
      <c r="E38" s="52"/>
      <c r="F38" s="142">
        <f t="shared" si="1"/>
        <v>100</v>
      </c>
    </row>
    <row r="39" spans="1:11" ht="19.5" customHeight="1" x14ac:dyDescent="0.2">
      <c r="A39" s="126">
        <v>4213</v>
      </c>
      <c r="B39" s="52" t="s">
        <v>108</v>
      </c>
      <c r="C39" s="131">
        <v>30000</v>
      </c>
      <c r="D39" s="127">
        <v>65000</v>
      </c>
      <c r="E39" s="52"/>
      <c r="F39" s="142">
        <f t="shared" si="1"/>
        <v>216.66666666666666</v>
      </c>
      <c r="H39" s="219" t="s">
        <v>203</v>
      </c>
      <c r="I39" s="219"/>
    </row>
    <row r="40" spans="1:11" ht="19.5" customHeight="1" x14ac:dyDescent="0.2">
      <c r="A40" s="135">
        <v>421</v>
      </c>
      <c r="B40" s="50" t="s">
        <v>109</v>
      </c>
      <c r="C40" s="132">
        <f>SUM(C37:C39)</f>
        <v>240000</v>
      </c>
      <c r="D40" s="128">
        <f>SUM(D37:D39)</f>
        <v>307000</v>
      </c>
      <c r="E40" s="52"/>
      <c r="F40" s="142">
        <f t="shared" si="1"/>
        <v>127.91666666666666</v>
      </c>
    </row>
    <row r="41" spans="1:11" ht="19.5" customHeight="1" x14ac:dyDescent="0.2">
      <c r="A41" s="135">
        <v>422</v>
      </c>
      <c r="B41" s="50" t="s">
        <v>110</v>
      </c>
      <c r="C41" s="132">
        <v>275000</v>
      </c>
      <c r="D41" s="128">
        <v>320000</v>
      </c>
      <c r="E41" s="52"/>
      <c r="F41" s="142">
        <f t="shared" si="1"/>
        <v>116.36363636363636</v>
      </c>
      <c r="H41" s="219" t="s">
        <v>204</v>
      </c>
      <c r="I41" s="219"/>
    </row>
    <row r="42" spans="1:11" ht="19.5" customHeight="1" x14ac:dyDescent="0.2">
      <c r="A42" s="135">
        <v>424</v>
      </c>
      <c r="B42" s="50" t="s">
        <v>27</v>
      </c>
      <c r="C42" s="132">
        <v>90000</v>
      </c>
      <c r="D42" s="128">
        <v>45000</v>
      </c>
      <c r="E42" s="52" t="s">
        <v>167</v>
      </c>
      <c r="F42" s="142">
        <f t="shared" si="1"/>
        <v>50</v>
      </c>
      <c r="G42" s="111"/>
      <c r="K42" s="111"/>
    </row>
    <row r="43" spans="1:11" ht="19.5" customHeight="1" x14ac:dyDescent="0.2">
      <c r="A43" s="126">
        <v>4251</v>
      </c>
      <c r="B43" s="52" t="s">
        <v>28</v>
      </c>
      <c r="C43" s="131">
        <v>100000</v>
      </c>
      <c r="D43" s="127">
        <v>123500</v>
      </c>
      <c r="E43" s="52"/>
      <c r="F43" s="142">
        <f t="shared" si="1"/>
        <v>123.50000000000001</v>
      </c>
      <c r="H43" s="224" t="s">
        <v>216</v>
      </c>
      <c r="I43" s="224"/>
      <c r="J43" s="224"/>
      <c r="K43" s="162"/>
    </row>
    <row r="44" spans="1:11" ht="19.5" customHeight="1" x14ac:dyDescent="0.2">
      <c r="A44" s="126">
        <v>4252</v>
      </c>
      <c r="B44" s="52" t="s">
        <v>34</v>
      </c>
      <c r="C44" s="131">
        <v>2600000</v>
      </c>
      <c r="D44" s="127">
        <v>3507000</v>
      </c>
      <c r="E44" s="52" t="s">
        <v>171</v>
      </c>
      <c r="F44" s="142">
        <f t="shared" si="1"/>
        <v>134.88461538461539</v>
      </c>
      <c r="H44" s="224"/>
      <c r="I44" s="224"/>
      <c r="J44" s="224"/>
      <c r="K44" s="162"/>
    </row>
    <row r="45" spans="1:11" ht="19.5" customHeight="1" x14ac:dyDescent="0.2">
      <c r="A45" s="126">
        <v>4253</v>
      </c>
      <c r="B45" s="52" t="s">
        <v>32</v>
      </c>
      <c r="C45" s="131">
        <v>330000</v>
      </c>
      <c r="D45" s="127">
        <v>280000</v>
      </c>
      <c r="E45" s="52"/>
      <c r="F45" s="142">
        <f t="shared" si="1"/>
        <v>84.848484848484844</v>
      </c>
      <c r="H45" s="220" t="s">
        <v>221</v>
      </c>
      <c r="I45" s="221"/>
      <c r="J45" s="222"/>
      <c r="K45" s="163"/>
    </row>
    <row r="46" spans="1:11" ht="19.5" customHeight="1" x14ac:dyDescent="0.2">
      <c r="A46" s="126">
        <v>4254</v>
      </c>
      <c r="B46" s="52" t="s">
        <v>46</v>
      </c>
      <c r="C46" s="131">
        <v>900000</v>
      </c>
      <c r="D46" s="127">
        <v>1067000</v>
      </c>
      <c r="E46" s="52" t="s">
        <v>170</v>
      </c>
      <c r="F46" s="142">
        <f t="shared" si="1"/>
        <v>118.55555555555554</v>
      </c>
      <c r="H46" s="220" t="s">
        <v>217</v>
      </c>
      <c r="I46" s="221"/>
      <c r="J46" s="222"/>
      <c r="K46" s="124"/>
    </row>
    <row r="47" spans="1:11" ht="19.5" customHeight="1" x14ac:dyDescent="0.2">
      <c r="A47" s="126">
        <v>4255</v>
      </c>
      <c r="B47" s="52" t="s">
        <v>55</v>
      </c>
      <c r="C47" s="131">
        <v>24000</v>
      </c>
      <c r="D47" s="127">
        <v>30000</v>
      </c>
      <c r="E47" s="52"/>
      <c r="F47" s="142">
        <f t="shared" si="1"/>
        <v>125</v>
      </c>
      <c r="H47" s="164" t="s">
        <v>205</v>
      </c>
    </row>
    <row r="48" spans="1:11" ht="19.5" customHeight="1" x14ac:dyDescent="0.2">
      <c r="A48" s="126">
        <v>4256</v>
      </c>
      <c r="B48" s="52" t="s">
        <v>111</v>
      </c>
      <c r="C48" s="131">
        <v>30000</v>
      </c>
      <c r="D48" s="127">
        <v>40000</v>
      </c>
      <c r="E48" s="52"/>
      <c r="F48" s="142">
        <f t="shared" si="1"/>
        <v>133.33333333333331</v>
      </c>
      <c r="H48" s="161" t="s">
        <v>206</v>
      </c>
    </row>
    <row r="49" spans="1:10" ht="19.5" customHeight="1" x14ac:dyDescent="0.2">
      <c r="A49" s="126">
        <v>4257</v>
      </c>
      <c r="B49" s="52" t="s">
        <v>58</v>
      </c>
      <c r="C49" s="131">
        <f>1080000-100000+162500+212500+24000+24000</f>
        <v>1403000</v>
      </c>
      <c r="D49" s="127">
        <v>760000</v>
      </c>
      <c r="E49" s="52" t="s">
        <v>169</v>
      </c>
      <c r="F49" s="142">
        <f t="shared" si="1"/>
        <v>54.169636493228793</v>
      </c>
      <c r="G49" s="113"/>
      <c r="H49" s="219" t="s">
        <v>207</v>
      </c>
      <c r="I49" s="219"/>
      <c r="J49" s="219"/>
    </row>
    <row r="50" spans="1:10" ht="19.5" customHeight="1" x14ac:dyDescent="0.2">
      <c r="A50" s="126">
        <v>4258</v>
      </c>
      <c r="B50" s="52" t="s">
        <v>112</v>
      </c>
      <c r="C50" s="131">
        <v>40000</v>
      </c>
      <c r="D50" s="127">
        <v>55000</v>
      </c>
      <c r="E50" s="52"/>
      <c r="F50" s="142">
        <f t="shared" si="1"/>
        <v>137.5</v>
      </c>
      <c r="H50" s="218" t="s">
        <v>222</v>
      </c>
      <c r="I50" s="218"/>
      <c r="J50" s="218"/>
    </row>
    <row r="51" spans="1:10" ht="19.5" customHeight="1" x14ac:dyDescent="0.2">
      <c r="A51" s="126">
        <v>4259</v>
      </c>
      <c r="B51" s="52" t="s">
        <v>113</v>
      </c>
      <c r="C51" s="131">
        <v>25000</v>
      </c>
      <c r="D51" s="127">
        <v>32000</v>
      </c>
      <c r="E51" s="52"/>
      <c r="F51" s="142">
        <f t="shared" si="1"/>
        <v>128</v>
      </c>
      <c r="H51" s="219" t="s">
        <v>208</v>
      </c>
      <c r="I51" s="219"/>
      <c r="J51" s="219"/>
    </row>
    <row r="52" spans="1:10" ht="19.5" customHeight="1" x14ac:dyDescent="0.2">
      <c r="A52" s="135">
        <v>425</v>
      </c>
      <c r="B52" s="50" t="s">
        <v>114</v>
      </c>
      <c r="C52" s="132">
        <f>SUM(C43:C51)</f>
        <v>5452000</v>
      </c>
      <c r="D52" s="128">
        <f>SUM(D43:D51)</f>
        <v>5894500</v>
      </c>
      <c r="E52" s="123"/>
      <c r="F52" s="142">
        <f t="shared" si="1"/>
        <v>108.11628760088041</v>
      </c>
    </row>
    <row r="53" spans="1:10" ht="17.25" customHeight="1" x14ac:dyDescent="0.2">
      <c r="A53" s="135">
        <v>426</v>
      </c>
      <c r="B53" s="50" t="s">
        <v>79</v>
      </c>
      <c r="C53" s="132">
        <v>600000</v>
      </c>
      <c r="D53" s="128">
        <v>1010000</v>
      </c>
      <c r="E53" s="139" t="s">
        <v>179</v>
      </c>
      <c r="F53" s="142">
        <f t="shared" si="1"/>
        <v>168.33333333333334</v>
      </c>
      <c r="H53" s="220" t="s">
        <v>223</v>
      </c>
      <c r="I53" s="221"/>
      <c r="J53" s="222"/>
    </row>
    <row r="54" spans="1:10" ht="19.5" customHeight="1" x14ac:dyDescent="0.2">
      <c r="A54" s="126">
        <v>4291</v>
      </c>
      <c r="B54" s="126" t="s">
        <v>115</v>
      </c>
      <c r="C54" s="131">
        <v>50000</v>
      </c>
      <c r="D54" s="127">
        <v>54000</v>
      </c>
      <c r="E54" s="123"/>
      <c r="F54" s="142">
        <f t="shared" si="1"/>
        <v>108</v>
      </c>
      <c r="H54" s="219" t="s">
        <v>209</v>
      </c>
      <c r="I54" s="219"/>
      <c r="J54" s="219"/>
    </row>
    <row r="55" spans="1:10" ht="19.5" customHeight="1" x14ac:dyDescent="0.2">
      <c r="A55" s="126">
        <v>4292</v>
      </c>
      <c r="B55" s="52" t="s">
        <v>116</v>
      </c>
      <c r="C55" s="131">
        <v>45000</v>
      </c>
      <c r="D55" s="127">
        <v>72000</v>
      </c>
      <c r="E55" s="123"/>
      <c r="F55" s="142">
        <f t="shared" si="1"/>
        <v>160</v>
      </c>
      <c r="H55" s="219" t="s">
        <v>210</v>
      </c>
      <c r="I55" s="219"/>
      <c r="J55" s="219"/>
    </row>
    <row r="56" spans="1:10" ht="19.5" customHeight="1" x14ac:dyDescent="0.2">
      <c r="A56" s="126">
        <v>4293</v>
      </c>
      <c r="B56" s="52" t="s">
        <v>117</v>
      </c>
      <c r="C56" s="131">
        <v>90000</v>
      </c>
      <c r="D56" s="127">
        <v>87000</v>
      </c>
      <c r="E56" s="123"/>
      <c r="F56" s="142">
        <f t="shared" si="1"/>
        <v>96.666666666666671</v>
      </c>
      <c r="H56" s="219" t="s">
        <v>211</v>
      </c>
      <c r="I56" s="219"/>
      <c r="J56" s="219"/>
    </row>
    <row r="57" spans="1:10" ht="19.5" customHeight="1" x14ac:dyDescent="0.2">
      <c r="A57" s="136" t="s">
        <v>118</v>
      </c>
      <c r="B57" s="52" t="s">
        <v>119</v>
      </c>
      <c r="C57" s="131">
        <v>5000</v>
      </c>
      <c r="D57" s="127">
        <v>5000</v>
      </c>
      <c r="E57" s="123"/>
      <c r="F57" s="142">
        <f t="shared" si="1"/>
        <v>100</v>
      </c>
    </row>
    <row r="58" spans="1:10" ht="19.5" customHeight="1" x14ac:dyDescent="0.2">
      <c r="A58" s="135">
        <v>429</v>
      </c>
      <c r="B58" s="50" t="s">
        <v>119</v>
      </c>
      <c r="C58" s="132">
        <f>SUM(C54:C57)</f>
        <v>190000</v>
      </c>
      <c r="D58" s="128">
        <f>SUM(D54:D57)</f>
        <v>218000</v>
      </c>
      <c r="E58" s="123"/>
      <c r="F58" s="142">
        <f t="shared" si="1"/>
        <v>114.73684210526316</v>
      </c>
    </row>
    <row r="59" spans="1:10" ht="19.5" customHeight="1" x14ac:dyDescent="0.2">
      <c r="A59" s="126">
        <v>4311</v>
      </c>
      <c r="B59" s="52" t="s">
        <v>120</v>
      </c>
      <c r="C59" s="131">
        <v>200000</v>
      </c>
      <c r="D59" s="127">
        <v>200000</v>
      </c>
      <c r="E59" s="123"/>
      <c r="F59" s="142">
        <f t="shared" si="1"/>
        <v>100</v>
      </c>
      <c r="H59" s="219" t="s">
        <v>212</v>
      </c>
      <c r="I59" s="219"/>
      <c r="J59" s="219"/>
    </row>
    <row r="60" spans="1:10" ht="19.5" customHeight="1" x14ac:dyDescent="0.2">
      <c r="A60" s="126">
        <v>43110</v>
      </c>
      <c r="B60" s="52" t="s">
        <v>149</v>
      </c>
      <c r="C60" s="131">
        <v>40000000</v>
      </c>
      <c r="D60" s="127">
        <f>40000000+2500000</f>
        <v>42500000</v>
      </c>
      <c r="E60" s="123"/>
      <c r="F60" s="142">
        <f t="shared" si="1"/>
        <v>106.25</v>
      </c>
      <c r="H60" s="219" t="s">
        <v>213</v>
      </c>
      <c r="I60" s="219"/>
      <c r="J60" s="219"/>
    </row>
    <row r="61" spans="1:10" ht="19.5" customHeight="1" x14ac:dyDescent="0.2">
      <c r="A61" s="126">
        <v>43111</v>
      </c>
      <c r="B61" s="52" t="s">
        <v>160</v>
      </c>
      <c r="C61" s="131">
        <v>0</v>
      </c>
      <c r="D61" s="127">
        <v>0</v>
      </c>
      <c r="E61" s="123"/>
      <c r="F61" s="142">
        <v>0</v>
      </c>
    </row>
    <row r="62" spans="1:10" ht="19.5" customHeight="1" x14ac:dyDescent="0.2">
      <c r="A62" s="135">
        <v>431</v>
      </c>
      <c r="B62" s="50" t="s">
        <v>121</v>
      </c>
      <c r="C62" s="82">
        <f>SUM(C59:C61)</f>
        <v>40200000</v>
      </c>
      <c r="D62" s="128">
        <f>SUM(D59:D61)</f>
        <v>42700000</v>
      </c>
      <c r="E62" s="123"/>
      <c r="F62" s="142">
        <f t="shared" si="1"/>
        <v>106.21890547263682</v>
      </c>
    </row>
    <row r="63" spans="1:10" ht="19.5" customHeight="1" x14ac:dyDescent="0.2">
      <c r="A63" s="126">
        <v>44211</v>
      </c>
      <c r="B63" s="52" t="s">
        <v>122</v>
      </c>
      <c r="C63" s="125">
        <v>620000</v>
      </c>
      <c r="D63" s="127">
        <v>1440000</v>
      </c>
      <c r="E63" s="123" t="s">
        <v>168</v>
      </c>
      <c r="F63" s="142">
        <f t="shared" si="1"/>
        <v>232.25806451612905</v>
      </c>
    </row>
    <row r="64" spans="1:10" ht="19.5" customHeight="1" x14ac:dyDescent="0.2">
      <c r="A64" s="126">
        <v>44212</v>
      </c>
      <c r="B64" s="52" t="s">
        <v>123</v>
      </c>
      <c r="C64" s="125">
        <v>19450000</v>
      </c>
      <c r="D64" s="127">
        <v>19290000</v>
      </c>
      <c r="E64" s="123"/>
      <c r="F64" s="142">
        <f t="shared" si="1"/>
        <v>99.177377892030847</v>
      </c>
    </row>
    <row r="65" spans="1:10" ht="18.75" customHeight="1" x14ac:dyDescent="0.2">
      <c r="A65" s="126">
        <v>44213</v>
      </c>
      <c r="B65" s="52" t="s">
        <v>124</v>
      </c>
      <c r="C65" s="125">
        <v>0</v>
      </c>
      <c r="D65" s="127">
        <v>0</v>
      </c>
      <c r="E65" s="123"/>
      <c r="F65" s="142">
        <v>0</v>
      </c>
    </row>
    <row r="66" spans="1:10" ht="20.25" customHeight="1" x14ac:dyDescent="0.2">
      <c r="A66" s="135">
        <v>442</v>
      </c>
      <c r="B66" s="50" t="s">
        <v>125</v>
      </c>
      <c r="C66" s="82">
        <f>SUM(C63:C65)</f>
        <v>20070000</v>
      </c>
      <c r="D66" s="128">
        <f>SUM(D63:D65)</f>
        <v>20730000</v>
      </c>
      <c r="E66" s="123"/>
      <c r="F66" s="142">
        <f t="shared" si="1"/>
        <v>103.28849028400597</v>
      </c>
    </row>
    <row r="67" spans="1:10" ht="19.5" customHeight="1" x14ac:dyDescent="0.2">
      <c r="A67" s="126">
        <v>4431</v>
      </c>
      <c r="B67" s="52" t="s">
        <v>126</v>
      </c>
      <c r="C67" s="125">
        <v>30000</v>
      </c>
      <c r="D67" s="127">
        <v>30000</v>
      </c>
      <c r="E67" s="123"/>
      <c r="F67" s="142">
        <f t="shared" si="1"/>
        <v>100</v>
      </c>
    </row>
    <row r="68" spans="1:10" ht="19.5" customHeight="1" x14ac:dyDescent="0.2">
      <c r="A68" s="126">
        <v>4432</v>
      </c>
      <c r="B68" s="52" t="s">
        <v>127</v>
      </c>
      <c r="C68" s="125">
        <v>6800000</v>
      </c>
      <c r="D68" s="127">
        <v>4600000</v>
      </c>
      <c r="E68" s="123" t="s">
        <v>166</v>
      </c>
      <c r="F68" s="142">
        <f t="shared" si="1"/>
        <v>67.64705882352942</v>
      </c>
      <c r="H68" s="219" t="s">
        <v>214</v>
      </c>
      <c r="I68" s="219"/>
      <c r="J68" s="219"/>
    </row>
    <row r="69" spans="1:10" ht="19.5" customHeight="1" x14ac:dyDescent="0.2">
      <c r="A69" s="126">
        <v>4430</v>
      </c>
      <c r="B69" s="52" t="s">
        <v>128</v>
      </c>
      <c r="C69" s="125">
        <v>505000</v>
      </c>
      <c r="D69" s="127">
        <v>270000</v>
      </c>
      <c r="E69" s="123"/>
      <c r="F69" s="142">
        <f t="shared" si="1"/>
        <v>53.46534653465347</v>
      </c>
    </row>
    <row r="70" spans="1:10" ht="19.5" customHeight="1" x14ac:dyDescent="0.2">
      <c r="A70" s="135">
        <v>443</v>
      </c>
      <c r="B70" s="50" t="s">
        <v>129</v>
      </c>
      <c r="C70" s="82">
        <f>SUM(C67:C69)</f>
        <v>7335000</v>
      </c>
      <c r="D70" s="128">
        <f>SUM(D67:D69)</f>
        <v>4900000</v>
      </c>
      <c r="E70" s="123"/>
      <c r="F70" s="142">
        <f t="shared" si="1"/>
        <v>66.802999318336745</v>
      </c>
    </row>
    <row r="71" spans="1:10" ht="19.5" customHeight="1" x14ac:dyDescent="0.2">
      <c r="A71" s="135">
        <v>462</v>
      </c>
      <c r="B71" s="50" t="s">
        <v>130</v>
      </c>
      <c r="C71" s="79">
        <v>5000</v>
      </c>
      <c r="D71" s="141">
        <v>5000</v>
      </c>
      <c r="E71" s="123"/>
      <c r="F71" s="154">
        <f t="shared" si="1"/>
        <v>100</v>
      </c>
    </row>
    <row r="72" spans="1:10" s="39" customFormat="1" ht="28.5" customHeight="1" x14ac:dyDescent="0.25">
      <c r="A72" s="133"/>
      <c r="B72" s="134" t="s">
        <v>131</v>
      </c>
      <c r="C72" s="149">
        <f>+C34+C35+C36+C40+C41+C42+C53+C52+C58+C62+C66+C70+C71</f>
        <v>77787000</v>
      </c>
      <c r="D72" s="147">
        <f>+D34+D35+D36+D40+D41+D42+D53+D52+D58+D62+D66+D70+D71</f>
        <v>79790900</v>
      </c>
      <c r="E72" s="151"/>
      <c r="F72" s="152">
        <f t="shared" si="1"/>
        <v>102.57613740085105</v>
      </c>
    </row>
    <row r="73" spans="1:10" s="39" customFormat="1" ht="28.5" customHeight="1" x14ac:dyDescent="0.25">
      <c r="A73" s="137" t="s">
        <v>132</v>
      </c>
      <c r="B73" s="138" t="s">
        <v>133</v>
      </c>
      <c r="C73" s="150">
        <f>+C25-C72</f>
        <v>-2092000</v>
      </c>
      <c r="D73" s="147">
        <f>+D25-D72</f>
        <v>27100</v>
      </c>
      <c r="E73" s="151"/>
      <c r="F73" s="151"/>
    </row>
    <row r="74" spans="1:10" x14ac:dyDescent="0.2">
      <c r="A74" s="56"/>
      <c r="D74" s="123"/>
    </row>
    <row r="75" spans="1:10" x14ac:dyDescent="0.2">
      <c r="A75" s="56"/>
    </row>
    <row r="76" spans="1:10" x14ac:dyDescent="0.2">
      <c r="A76" s="57"/>
      <c r="B76" s="56"/>
    </row>
    <row r="77" spans="1:10" x14ac:dyDescent="0.2">
      <c r="A77" s="57"/>
      <c r="B77" s="58"/>
    </row>
    <row r="78" spans="1:10" x14ac:dyDescent="0.2">
      <c r="A78" s="57"/>
      <c r="B78" s="56"/>
    </row>
    <row r="79" spans="1:10" x14ac:dyDescent="0.2">
      <c r="A79" s="56"/>
      <c r="B79" s="56"/>
    </row>
    <row r="80" spans="1:10" x14ac:dyDescent="0.2">
      <c r="A80" s="56"/>
      <c r="B80" s="56"/>
    </row>
    <row r="81" spans="1:2" x14ac:dyDescent="0.2">
      <c r="A81" s="56"/>
      <c r="B81" s="56"/>
    </row>
    <row r="82" spans="1:2" x14ac:dyDescent="0.2">
      <c r="A82" s="56"/>
    </row>
    <row r="83" spans="1:2" x14ac:dyDescent="0.2">
      <c r="A83" s="56"/>
    </row>
    <row r="84" spans="1:2" x14ac:dyDescent="0.2">
      <c r="A84" s="56"/>
    </row>
    <row r="85" spans="1:2" x14ac:dyDescent="0.2">
      <c r="A85" s="56"/>
    </row>
    <row r="86" spans="1:2" x14ac:dyDescent="0.2">
      <c r="A86" s="56"/>
    </row>
    <row r="87" spans="1:2" x14ac:dyDescent="0.2">
      <c r="A87" s="56"/>
    </row>
    <row r="88" spans="1:2" x14ac:dyDescent="0.2">
      <c r="A88" s="56"/>
    </row>
    <row r="89" spans="1:2" x14ac:dyDescent="0.2">
      <c r="A89" s="56"/>
    </row>
    <row r="90" spans="1:2" x14ac:dyDescent="0.2">
      <c r="A90" s="56"/>
    </row>
    <row r="91" spans="1:2" x14ac:dyDescent="0.2">
      <c r="A91" s="56"/>
    </row>
    <row r="92" spans="1:2" x14ac:dyDescent="0.2">
      <c r="A92" s="56"/>
    </row>
    <row r="93" spans="1:2" x14ac:dyDescent="0.2">
      <c r="A93" s="56"/>
    </row>
    <row r="94" spans="1:2" x14ac:dyDescent="0.2">
      <c r="A94" s="56"/>
    </row>
    <row r="95" spans="1:2" x14ac:dyDescent="0.2">
      <c r="A95" s="56"/>
    </row>
    <row r="96" spans="1:2" x14ac:dyDescent="0.2">
      <c r="A96" s="56"/>
    </row>
    <row r="97" spans="1:1" x14ac:dyDescent="0.2">
      <c r="A97" s="56"/>
    </row>
  </sheetData>
  <mergeCells count="22">
    <mergeCell ref="A6:C6"/>
    <mergeCell ref="H39:I39"/>
    <mergeCell ref="H41:I41"/>
    <mergeCell ref="H43:J44"/>
    <mergeCell ref="H46:J46"/>
    <mergeCell ref="H23:I23"/>
    <mergeCell ref="H45:J45"/>
    <mergeCell ref="H16:I16"/>
    <mergeCell ref="H20:I20"/>
    <mergeCell ref="H22:I22"/>
    <mergeCell ref="H34:I34"/>
    <mergeCell ref="H37:I37"/>
    <mergeCell ref="H50:J50"/>
    <mergeCell ref="H49:J49"/>
    <mergeCell ref="H68:J68"/>
    <mergeCell ref="H60:J60"/>
    <mergeCell ref="H59:J59"/>
    <mergeCell ref="H56:J56"/>
    <mergeCell ref="H55:J55"/>
    <mergeCell ref="H54:J54"/>
    <mergeCell ref="H51:J51"/>
    <mergeCell ref="H53:J53"/>
  </mergeCells>
  <pageMargins left="0.25" right="0.25" top="0.75" bottom="0.75" header="0.3" footer="0.3"/>
  <pageSetup scale="62" orientation="landscape" r:id="rId1"/>
  <ignoredErrors>
    <ignoredError sqref="C58 C40:D40 D52:D5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abSelected="1" topLeftCell="A48" zoomScaleNormal="100" zoomScaleSheetLayoutView="90" workbookViewId="0">
      <selection activeCell="L56" sqref="L56"/>
    </sheetView>
  </sheetViews>
  <sheetFormatPr defaultRowHeight="12.75" x14ac:dyDescent="0.2"/>
  <cols>
    <col min="1" max="1" width="7.85546875" style="181" customWidth="1"/>
    <col min="2" max="2" width="58" style="181" customWidth="1"/>
    <col min="3" max="5" width="19.140625" style="181" customWidth="1"/>
    <col min="6" max="6" width="9.85546875" style="181" bestFit="1" customWidth="1"/>
    <col min="7" max="8" width="9.140625" style="181"/>
    <col min="9" max="9" width="10.85546875" style="181" bestFit="1" customWidth="1"/>
    <col min="10" max="13" width="9.140625" style="181"/>
    <col min="14" max="14" width="10.85546875" style="181" bestFit="1" customWidth="1"/>
    <col min="15" max="15" width="12.42578125" style="181" customWidth="1"/>
    <col min="16" max="16" width="12.42578125" style="181" bestFit="1" customWidth="1"/>
    <col min="17" max="17" width="9.140625" style="181"/>
    <col min="18" max="18" width="12.42578125" style="181" bestFit="1" customWidth="1"/>
    <col min="19" max="19" width="12.5703125" style="181" bestFit="1" customWidth="1"/>
    <col min="20" max="20" width="12.42578125" style="181" bestFit="1" customWidth="1"/>
    <col min="21" max="249" width="9.140625" style="181"/>
    <col min="250" max="250" width="7.5703125" style="181" customWidth="1"/>
    <col min="251" max="251" width="56.7109375" style="181" bestFit="1" customWidth="1"/>
    <col min="252" max="252" width="11.42578125" style="181" customWidth="1"/>
    <col min="253" max="253" width="11.28515625" style="181" bestFit="1" customWidth="1"/>
    <col min="254" max="505" width="9.140625" style="181"/>
    <col min="506" max="506" width="7.5703125" style="181" customWidth="1"/>
    <col min="507" max="507" width="56.7109375" style="181" bestFit="1" customWidth="1"/>
    <col min="508" max="508" width="11.42578125" style="181" customWidth="1"/>
    <col min="509" max="509" width="11.28515625" style="181" bestFit="1" customWidth="1"/>
    <col min="510" max="761" width="9.140625" style="181"/>
    <col min="762" max="762" width="7.5703125" style="181" customWidth="1"/>
    <col min="763" max="763" width="56.7109375" style="181" bestFit="1" customWidth="1"/>
    <col min="764" max="764" width="11.42578125" style="181" customWidth="1"/>
    <col min="765" max="765" width="11.28515625" style="181" bestFit="1" customWidth="1"/>
    <col min="766" max="1017" width="9.140625" style="181"/>
    <col min="1018" max="1018" width="7.5703125" style="181" customWidth="1"/>
    <col min="1019" max="1019" width="56.7109375" style="181" bestFit="1" customWidth="1"/>
    <col min="1020" max="1020" width="11.42578125" style="181" customWidth="1"/>
    <col min="1021" max="1021" width="11.28515625" style="181" bestFit="1" customWidth="1"/>
    <col min="1022" max="1273" width="9.140625" style="181"/>
    <col min="1274" max="1274" width="7.5703125" style="181" customWidth="1"/>
    <col min="1275" max="1275" width="56.7109375" style="181" bestFit="1" customWidth="1"/>
    <col min="1276" max="1276" width="11.42578125" style="181" customWidth="1"/>
    <col min="1277" max="1277" width="11.28515625" style="181" bestFit="1" customWidth="1"/>
    <col min="1278" max="1529" width="9.140625" style="181"/>
    <col min="1530" max="1530" width="7.5703125" style="181" customWidth="1"/>
    <col min="1531" max="1531" width="56.7109375" style="181" bestFit="1" customWidth="1"/>
    <col min="1532" max="1532" width="11.42578125" style="181" customWidth="1"/>
    <col min="1533" max="1533" width="11.28515625" style="181" bestFit="1" customWidth="1"/>
    <col min="1534" max="1785" width="9.140625" style="181"/>
    <col min="1786" max="1786" width="7.5703125" style="181" customWidth="1"/>
    <col min="1787" max="1787" width="56.7109375" style="181" bestFit="1" customWidth="1"/>
    <col min="1788" max="1788" width="11.42578125" style="181" customWidth="1"/>
    <col min="1789" max="1789" width="11.28515625" style="181" bestFit="1" customWidth="1"/>
    <col min="1790" max="2041" width="9.140625" style="181"/>
    <col min="2042" max="2042" width="7.5703125" style="181" customWidth="1"/>
    <col min="2043" max="2043" width="56.7109375" style="181" bestFit="1" customWidth="1"/>
    <col min="2044" max="2044" width="11.42578125" style="181" customWidth="1"/>
    <col min="2045" max="2045" width="11.28515625" style="181" bestFit="1" customWidth="1"/>
    <col min="2046" max="2297" width="9.140625" style="181"/>
    <col min="2298" max="2298" width="7.5703125" style="181" customWidth="1"/>
    <col min="2299" max="2299" width="56.7109375" style="181" bestFit="1" customWidth="1"/>
    <col min="2300" max="2300" width="11.42578125" style="181" customWidth="1"/>
    <col min="2301" max="2301" width="11.28515625" style="181" bestFit="1" customWidth="1"/>
    <col min="2302" max="2553" width="9.140625" style="181"/>
    <col min="2554" max="2554" width="7.5703125" style="181" customWidth="1"/>
    <col min="2555" max="2555" width="56.7109375" style="181" bestFit="1" customWidth="1"/>
    <col min="2556" max="2556" width="11.42578125" style="181" customWidth="1"/>
    <col min="2557" max="2557" width="11.28515625" style="181" bestFit="1" customWidth="1"/>
    <col min="2558" max="2809" width="9.140625" style="181"/>
    <col min="2810" max="2810" width="7.5703125" style="181" customWidth="1"/>
    <col min="2811" max="2811" width="56.7109375" style="181" bestFit="1" customWidth="1"/>
    <col min="2812" max="2812" width="11.42578125" style="181" customWidth="1"/>
    <col min="2813" max="2813" width="11.28515625" style="181" bestFit="1" customWidth="1"/>
    <col min="2814" max="3065" width="9.140625" style="181"/>
    <col min="3066" max="3066" width="7.5703125" style="181" customWidth="1"/>
    <col min="3067" max="3067" width="56.7109375" style="181" bestFit="1" customWidth="1"/>
    <col min="3068" max="3068" width="11.42578125" style="181" customWidth="1"/>
    <col min="3069" max="3069" width="11.28515625" style="181" bestFit="1" customWidth="1"/>
    <col min="3070" max="3321" width="9.140625" style="181"/>
    <col min="3322" max="3322" width="7.5703125" style="181" customWidth="1"/>
    <col min="3323" max="3323" width="56.7109375" style="181" bestFit="1" customWidth="1"/>
    <col min="3324" max="3324" width="11.42578125" style="181" customWidth="1"/>
    <col min="3325" max="3325" width="11.28515625" style="181" bestFit="1" customWidth="1"/>
    <col min="3326" max="3577" width="9.140625" style="181"/>
    <col min="3578" max="3578" width="7.5703125" style="181" customWidth="1"/>
    <col min="3579" max="3579" width="56.7109375" style="181" bestFit="1" customWidth="1"/>
    <col min="3580" max="3580" width="11.42578125" style="181" customWidth="1"/>
    <col min="3581" max="3581" width="11.28515625" style="181" bestFit="1" customWidth="1"/>
    <col min="3582" max="3833" width="9.140625" style="181"/>
    <col min="3834" max="3834" width="7.5703125" style="181" customWidth="1"/>
    <col min="3835" max="3835" width="56.7109375" style="181" bestFit="1" customWidth="1"/>
    <col min="3836" max="3836" width="11.42578125" style="181" customWidth="1"/>
    <col min="3837" max="3837" width="11.28515625" style="181" bestFit="1" customWidth="1"/>
    <col min="3838" max="4089" width="9.140625" style="181"/>
    <col min="4090" max="4090" width="7.5703125" style="181" customWidth="1"/>
    <col min="4091" max="4091" width="56.7109375" style="181" bestFit="1" customWidth="1"/>
    <col min="4092" max="4092" width="11.42578125" style="181" customWidth="1"/>
    <col min="4093" max="4093" width="11.28515625" style="181" bestFit="1" customWidth="1"/>
    <col min="4094" max="4345" width="9.140625" style="181"/>
    <col min="4346" max="4346" width="7.5703125" style="181" customWidth="1"/>
    <col min="4347" max="4347" width="56.7109375" style="181" bestFit="1" customWidth="1"/>
    <col min="4348" max="4348" width="11.42578125" style="181" customWidth="1"/>
    <col min="4349" max="4349" width="11.28515625" style="181" bestFit="1" customWidth="1"/>
    <col min="4350" max="4601" width="9.140625" style="181"/>
    <col min="4602" max="4602" width="7.5703125" style="181" customWidth="1"/>
    <col min="4603" max="4603" width="56.7109375" style="181" bestFit="1" customWidth="1"/>
    <col min="4604" max="4604" width="11.42578125" style="181" customWidth="1"/>
    <col min="4605" max="4605" width="11.28515625" style="181" bestFit="1" customWidth="1"/>
    <col min="4606" max="4857" width="9.140625" style="181"/>
    <col min="4858" max="4858" width="7.5703125" style="181" customWidth="1"/>
    <col min="4859" max="4859" width="56.7109375" style="181" bestFit="1" customWidth="1"/>
    <col min="4860" max="4860" width="11.42578125" style="181" customWidth="1"/>
    <col min="4861" max="4861" width="11.28515625" style="181" bestFit="1" customWidth="1"/>
    <col min="4862" max="5113" width="9.140625" style="181"/>
    <col min="5114" max="5114" width="7.5703125" style="181" customWidth="1"/>
    <col min="5115" max="5115" width="56.7109375" style="181" bestFit="1" customWidth="1"/>
    <col min="5116" max="5116" width="11.42578125" style="181" customWidth="1"/>
    <col min="5117" max="5117" width="11.28515625" style="181" bestFit="1" customWidth="1"/>
    <col min="5118" max="5369" width="9.140625" style="181"/>
    <col min="5370" max="5370" width="7.5703125" style="181" customWidth="1"/>
    <col min="5371" max="5371" width="56.7109375" style="181" bestFit="1" customWidth="1"/>
    <col min="5372" max="5372" width="11.42578125" style="181" customWidth="1"/>
    <col min="5373" max="5373" width="11.28515625" style="181" bestFit="1" customWidth="1"/>
    <col min="5374" max="5625" width="9.140625" style="181"/>
    <col min="5626" max="5626" width="7.5703125" style="181" customWidth="1"/>
    <col min="5627" max="5627" width="56.7109375" style="181" bestFit="1" customWidth="1"/>
    <col min="5628" max="5628" width="11.42578125" style="181" customWidth="1"/>
    <col min="5629" max="5629" width="11.28515625" style="181" bestFit="1" customWidth="1"/>
    <col min="5630" max="5881" width="9.140625" style="181"/>
    <col min="5882" max="5882" width="7.5703125" style="181" customWidth="1"/>
    <col min="5883" max="5883" width="56.7109375" style="181" bestFit="1" customWidth="1"/>
    <col min="5884" max="5884" width="11.42578125" style="181" customWidth="1"/>
    <col min="5885" max="5885" width="11.28515625" style="181" bestFit="1" customWidth="1"/>
    <col min="5886" max="6137" width="9.140625" style="181"/>
    <col min="6138" max="6138" width="7.5703125" style="181" customWidth="1"/>
    <col min="6139" max="6139" width="56.7109375" style="181" bestFit="1" customWidth="1"/>
    <col min="6140" max="6140" width="11.42578125" style="181" customWidth="1"/>
    <col min="6141" max="6141" width="11.28515625" style="181" bestFit="1" customWidth="1"/>
    <col min="6142" max="6393" width="9.140625" style="181"/>
    <col min="6394" max="6394" width="7.5703125" style="181" customWidth="1"/>
    <col min="6395" max="6395" width="56.7109375" style="181" bestFit="1" customWidth="1"/>
    <col min="6396" max="6396" width="11.42578125" style="181" customWidth="1"/>
    <col min="6397" max="6397" width="11.28515625" style="181" bestFit="1" customWidth="1"/>
    <col min="6398" max="6649" width="9.140625" style="181"/>
    <col min="6650" max="6650" width="7.5703125" style="181" customWidth="1"/>
    <col min="6651" max="6651" width="56.7109375" style="181" bestFit="1" customWidth="1"/>
    <col min="6652" max="6652" width="11.42578125" style="181" customWidth="1"/>
    <col min="6653" max="6653" width="11.28515625" style="181" bestFit="1" customWidth="1"/>
    <col min="6654" max="6905" width="9.140625" style="181"/>
    <col min="6906" max="6906" width="7.5703125" style="181" customWidth="1"/>
    <col min="6907" max="6907" width="56.7109375" style="181" bestFit="1" customWidth="1"/>
    <col min="6908" max="6908" width="11.42578125" style="181" customWidth="1"/>
    <col min="6909" max="6909" width="11.28515625" style="181" bestFit="1" customWidth="1"/>
    <col min="6910" max="7161" width="9.140625" style="181"/>
    <col min="7162" max="7162" width="7.5703125" style="181" customWidth="1"/>
    <col min="7163" max="7163" width="56.7109375" style="181" bestFit="1" customWidth="1"/>
    <col min="7164" max="7164" width="11.42578125" style="181" customWidth="1"/>
    <col min="7165" max="7165" width="11.28515625" style="181" bestFit="1" customWidth="1"/>
    <col min="7166" max="7417" width="9.140625" style="181"/>
    <col min="7418" max="7418" width="7.5703125" style="181" customWidth="1"/>
    <col min="7419" max="7419" width="56.7109375" style="181" bestFit="1" customWidth="1"/>
    <col min="7420" max="7420" width="11.42578125" style="181" customWidth="1"/>
    <col min="7421" max="7421" width="11.28515625" style="181" bestFit="1" customWidth="1"/>
    <col min="7422" max="7673" width="9.140625" style="181"/>
    <col min="7674" max="7674" width="7.5703125" style="181" customWidth="1"/>
    <col min="7675" max="7675" width="56.7109375" style="181" bestFit="1" customWidth="1"/>
    <col min="7676" max="7676" width="11.42578125" style="181" customWidth="1"/>
    <col min="7677" max="7677" width="11.28515625" style="181" bestFit="1" customWidth="1"/>
    <col min="7678" max="7929" width="9.140625" style="181"/>
    <col min="7930" max="7930" width="7.5703125" style="181" customWidth="1"/>
    <col min="7931" max="7931" width="56.7109375" style="181" bestFit="1" customWidth="1"/>
    <col min="7932" max="7932" width="11.42578125" style="181" customWidth="1"/>
    <col min="7933" max="7933" width="11.28515625" style="181" bestFit="1" customWidth="1"/>
    <col min="7934" max="8185" width="9.140625" style="181"/>
    <col min="8186" max="8186" width="7.5703125" style="181" customWidth="1"/>
    <col min="8187" max="8187" width="56.7109375" style="181" bestFit="1" customWidth="1"/>
    <col min="8188" max="8188" width="11.42578125" style="181" customWidth="1"/>
    <col min="8189" max="8189" width="11.28515625" style="181" bestFit="1" customWidth="1"/>
    <col min="8190" max="8441" width="9.140625" style="181"/>
    <col min="8442" max="8442" width="7.5703125" style="181" customWidth="1"/>
    <col min="8443" max="8443" width="56.7109375" style="181" bestFit="1" customWidth="1"/>
    <col min="8444" max="8444" width="11.42578125" style="181" customWidth="1"/>
    <col min="8445" max="8445" width="11.28515625" style="181" bestFit="1" customWidth="1"/>
    <col min="8446" max="8697" width="9.140625" style="181"/>
    <col min="8698" max="8698" width="7.5703125" style="181" customWidth="1"/>
    <col min="8699" max="8699" width="56.7109375" style="181" bestFit="1" customWidth="1"/>
    <col min="8700" max="8700" width="11.42578125" style="181" customWidth="1"/>
    <col min="8701" max="8701" width="11.28515625" style="181" bestFit="1" customWidth="1"/>
    <col min="8702" max="8953" width="9.140625" style="181"/>
    <col min="8954" max="8954" width="7.5703125" style="181" customWidth="1"/>
    <col min="8955" max="8955" width="56.7109375" style="181" bestFit="1" customWidth="1"/>
    <col min="8956" max="8956" width="11.42578125" style="181" customWidth="1"/>
    <col min="8957" max="8957" width="11.28515625" style="181" bestFit="1" customWidth="1"/>
    <col min="8958" max="9209" width="9.140625" style="181"/>
    <col min="9210" max="9210" width="7.5703125" style="181" customWidth="1"/>
    <col min="9211" max="9211" width="56.7109375" style="181" bestFit="1" customWidth="1"/>
    <col min="9212" max="9212" width="11.42578125" style="181" customWidth="1"/>
    <col min="9213" max="9213" width="11.28515625" style="181" bestFit="1" customWidth="1"/>
    <col min="9214" max="9465" width="9.140625" style="181"/>
    <col min="9466" max="9466" width="7.5703125" style="181" customWidth="1"/>
    <col min="9467" max="9467" width="56.7109375" style="181" bestFit="1" customWidth="1"/>
    <col min="9468" max="9468" width="11.42578125" style="181" customWidth="1"/>
    <col min="9469" max="9469" width="11.28515625" style="181" bestFit="1" customWidth="1"/>
    <col min="9470" max="9721" width="9.140625" style="181"/>
    <col min="9722" max="9722" width="7.5703125" style="181" customWidth="1"/>
    <col min="9723" max="9723" width="56.7109375" style="181" bestFit="1" customWidth="1"/>
    <col min="9724" max="9724" width="11.42578125" style="181" customWidth="1"/>
    <col min="9725" max="9725" width="11.28515625" style="181" bestFit="1" customWidth="1"/>
    <col min="9726" max="9977" width="9.140625" style="181"/>
    <col min="9978" max="9978" width="7.5703125" style="181" customWidth="1"/>
    <col min="9979" max="9979" width="56.7109375" style="181" bestFit="1" customWidth="1"/>
    <col min="9980" max="9980" width="11.42578125" style="181" customWidth="1"/>
    <col min="9981" max="9981" width="11.28515625" style="181" bestFit="1" customWidth="1"/>
    <col min="9982" max="10233" width="9.140625" style="181"/>
    <col min="10234" max="10234" width="7.5703125" style="181" customWidth="1"/>
    <col min="10235" max="10235" width="56.7109375" style="181" bestFit="1" customWidth="1"/>
    <col min="10236" max="10236" width="11.42578125" style="181" customWidth="1"/>
    <col min="10237" max="10237" width="11.28515625" style="181" bestFit="1" customWidth="1"/>
    <col min="10238" max="10489" width="9.140625" style="181"/>
    <col min="10490" max="10490" width="7.5703125" style="181" customWidth="1"/>
    <col min="10491" max="10491" width="56.7109375" style="181" bestFit="1" customWidth="1"/>
    <col min="10492" max="10492" width="11.42578125" style="181" customWidth="1"/>
    <col min="10493" max="10493" width="11.28515625" style="181" bestFit="1" customWidth="1"/>
    <col min="10494" max="10745" width="9.140625" style="181"/>
    <col min="10746" max="10746" width="7.5703125" style="181" customWidth="1"/>
    <col min="10747" max="10747" width="56.7109375" style="181" bestFit="1" customWidth="1"/>
    <col min="10748" max="10748" width="11.42578125" style="181" customWidth="1"/>
    <col min="10749" max="10749" width="11.28515625" style="181" bestFit="1" customWidth="1"/>
    <col min="10750" max="11001" width="9.140625" style="181"/>
    <col min="11002" max="11002" width="7.5703125" style="181" customWidth="1"/>
    <col min="11003" max="11003" width="56.7109375" style="181" bestFit="1" customWidth="1"/>
    <col min="11004" max="11004" width="11.42578125" style="181" customWidth="1"/>
    <col min="11005" max="11005" width="11.28515625" style="181" bestFit="1" customWidth="1"/>
    <col min="11006" max="11257" width="9.140625" style="181"/>
    <col min="11258" max="11258" width="7.5703125" style="181" customWidth="1"/>
    <col min="11259" max="11259" width="56.7109375" style="181" bestFit="1" customWidth="1"/>
    <col min="11260" max="11260" width="11.42578125" style="181" customWidth="1"/>
    <col min="11261" max="11261" width="11.28515625" style="181" bestFit="1" customWidth="1"/>
    <col min="11262" max="11513" width="9.140625" style="181"/>
    <col min="11514" max="11514" width="7.5703125" style="181" customWidth="1"/>
    <col min="11515" max="11515" width="56.7109375" style="181" bestFit="1" customWidth="1"/>
    <col min="11516" max="11516" width="11.42578125" style="181" customWidth="1"/>
    <col min="11517" max="11517" width="11.28515625" style="181" bestFit="1" customWidth="1"/>
    <col min="11518" max="11769" width="9.140625" style="181"/>
    <col min="11770" max="11770" width="7.5703125" style="181" customWidth="1"/>
    <col min="11771" max="11771" width="56.7109375" style="181" bestFit="1" customWidth="1"/>
    <col min="11772" max="11772" width="11.42578125" style="181" customWidth="1"/>
    <col min="11773" max="11773" width="11.28515625" style="181" bestFit="1" customWidth="1"/>
    <col min="11774" max="12025" width="9.140625" style="181"/>
    <col min="12026" max="12026" width="7.5703125" style="181" customWidth="1"/>
    <col min="12027" max="12027" width="56.7109375" style="181" bestFit="1" customWidth="1"/>
    <col min="12028" max="12028" width="11.42578125" style="181" customWidth="1"/>
    <col min="12029" max="12029" width="11.28515625" style="181" bestFit="1" customWidth="1"/>
    <col min="12030" max="12281" width="9.140625" style="181"/>
    <col min="12282" max="12282" width="7.5703125" style="181" customWidth="1"/>
    <col min="12283" max="12283" width="56.7109375" style="181" bestFit="1" customWidth="1"/>
    <col min="12284" max="12284" width="11.42578125" style="181" customWidth="1"/>
    <col min="12285" max="12285" width="11.28515625" style="181" bestFit="1" customWidth="1"/>
    <col min="12286" max="12537" width="9.140625" style="181"/>
    <col min="12538" max="12538" width="7.5703125" style="181" customWidth="1"/>
    <col min="12539" max="12539" width="56.7109375" style="181" bestFit="1" customWidth="1"/>
    <col min="12540" max="12540" width="11.42578125" style="181" customWidth="1"/>
    <col min="12541" max="12541" width="11.28515625" style="181" bestFit="1" customWidth="1"/>
    <col min="12542" max="12793" width="9.140625" style="181"/>
    <col min="12794" max="12794" width="7.5703125" style="181" customWidth="1"/>
    <col min="12795" max="12795" width="56.7109375" style="181" bestFit="1" customWidth="1"/>
    <col min="12796" max="12796" width="11.42578125" style="181" customWidth="1"/>
    <col min="12797" max="12797" width="11.28515625" style="181" bestFit="1" customWidth="1"/>
    <col min="12798" max="13049" width="9.140625" style="181"/>
    <col min="13050" max="13050" width="7.5703125" style="181" customWidth="1"/>
    <col min="13051" max="13051" width="56.7109375" style="181" bestFit="1" customWidth="1"/>
    <col min="13052" max="13052" width="11.42578125" style="181" customWidth="1"/>
    <col min="13053" max="13053" width="11.28515625" style="181" bestFit="1" customWidth="1"/>
    <col min="13054" max="13305" width="9.140625" style="181"/>
    <col min="13306" max="13306" width="7.5703125" style="181" customWidth="1"/>
    <col min="13307" max="13307" width="56.7109375" style="181" bestFit="1" customWidth="1"/>
    <col min="13308" max="13308" width="11.42578125" style="181" customWidth="1"/>
    <col min="13309" max="13309" width="11.28515625" style="181" bestFit="1" customWidth="1"/>
    <col min="13310" max="13561" width="9.140625" style="181"/>
    <col min="13562" max="13562" width="7.5703125" style="181" customWidth="1"/>
    <col min="13563" max="13563" width="56.7109375" style="181" bestFit="1" customWidth="1"/>
    <col min="13564" max="13564" width="11.42578125" style="181" customWidth="1"/>
    <col min="13565" max="13565" width="11.28515625" style="181" bestFit="1" customWidth="1"/>
    <col min="13566" max="13817" width="9.140625" style="181"/>
    <col min="13818" max="13818" width="7.5703125" style="181" customWidth="1"/>
    <col min="13819" max="13819" width="56.7109375" style="181" bestFit="1" customWidth="1"/>
    <col min="13820" max="13820" width="11.42578125" style="181" customWidth="1"/>
    <col min="13821" max="13821" width="11.28515625" style="181" bestFit="1" customWidth="1"/>
    <col min="13822" max="14073" width="9.140625" style="181"/>
    <col min="14074" max="14074" width="7.5703125" style="181" customWidth="1"/>
    <col min="14075" max="14075" width="56.7109375" style="181" bestFit="1" customWidth="1"/>
    <col min="14076" max="14076" width="11.42578125" style="181" customWidth="1"/>
    <col min="14077" max="14077" width="11.28515625" style="181" bestFit="1" customWidth="1"/>
    <col min="14078" max="14329" width="9.140625" style="181"/>
    <col min="14330" max="14330" width="7.5703125" style="181" customWidth="1"/>
    <col min="14331" max="14331" width="56.7109375" style="181" bestFit="1" customWidth="1"/>
    <col min="14332" max="14332" width="11.42578125" style="181" customWidth="1"/>
    <col min="14333" max="14333" width="11.28515625" style="181" bestFit="1" customWidth="1"/>
    <col min="14334" max="14585" width="9.140625" style="181"/>
    <col min="14586" max="14586" width="7.5703125" style="181" customWidth="1"/>
    <col min="14587" max="14587" width="56.7109375" style="181" bestFit="1" customWidth="1"/>
    <col min="14588" max="14588" width="11.42578125" style="181" customWidth="1"/>
    <col min="14589" max="14589" width="11.28515625" style="181" bestFit="1" customWidth="1"/>
    <col min="14590" max="14841" width="9.140625" style="181"/>
    <col min="14842" max="14842" width="7.5703125" style="181" customWidth="1"/>
    <col min="14843" max="14843" width="56.7109375" style="181" bestFit="1" customWidth="1"/>
    <col min="14844" max="14844" width="11.42578125" style="181" customWidth="1"/>
    <col min="14845" max="14845" width="11.28515625" style="181" bestFit="1" customWidth="1"/>
    <col min="14846" max="15097" width="9.140625" style="181"/>
    <col min="15098" max="15098" width="7.5703125" style="181" customWidth="1"/>
    <col min="15099" max="15099" width="56.7109375" style="181" bestFit="1" customWidth="1"/>
    <col min="15100" max="15100" width="11.42578125" style="181" customWidth="1"/>
    <col min="15101" max="15101" width="11.28515625" style="181" bestFit="1" customWidth="1"/>
    <col min="15102" max="15353" width="9.140625" style="181"/>
    <col min="15354" max="15354" width="7.5703125" style="181" customWidth="1"/>
    <col min="15355" max="15355" width="56.7109375" style="181" bestFit="1" customWidth="1"/>
    <col min="15356" max="15356" width="11.42578125" style="181" customWidth="1"/>
    <col min="15357" max="15357" width="11.28515625" style="181" bestFit="1" customWidth="1"/>
    <col min="15358" max="15609" width="9.140625" style="181"/>
    <col min="15610" max="15610" width="7.5703125" style="181" customWidth="1"/>
    <col min="15611" max="15611" width="56.7109375" style="181" bestFit="1" customWidth="1"/>
    <col min="15612" max="15612" width="11.42578125" style="181" customWidth="1"/>
    <col min="15613" max="15613" width="11.28515625" style="181" bestFit="1" customWidth="1"/>
    <col min="15614" max="15865" width="9.140625" style="181"/>
    <col min="15866" max="15866" width="7.5703125" style="181" customWidth="1"/>
    <col min="15867" max="15867" width="56.7109375" style="181" bestFit="1" customWidth="1"/>
    <col min="15868" max="15868" width="11.42578125" style="181" customWidth="1"/>
    <col min="15869" max="15869" width="11.28515625" style="181" bestFit="1" customWidth="1"/>
    <col min="15870" max="16121" width="9.140625" style="181"/>
    <col min="16122" max="16122" width="7.5703125" style="181" customWidth="1"/>
    <col min="16123" max="16123" width="56.7109375" style="181" bestFit="1" customWidth="1"/>
    <col min="16124" max="16124" width="11.42578125" style="181" customWidth="1"/>
    <col min="16125" max="16125" width="11.28515625" style="181" bestFit="1" customWidth="1"/>
    <col min="16126" max="16384" width="9.140625" style="181"/>
  </cols>
  <sheetData>
    <row r="1" spans="1:20" ht="15" x14ac:dyDescent="0.25">
      <c r="A1" s="180" t="s">
        <v>85</v>
      </c>
    </row>
    <row r="2" spans="1:20" ht="15" x14ac:dyDescent="0.25">
      <c r="A2" s="180" t="s">
        <v>163</v>
      </c>
    </row>
    <row r="3" spans="1:20" ht="15" x14ac:dyDescent="0.25">
      <c r="A3" s="180" t="s">
        <v>86</v>
      </c>
    </row>
    <row r="7" spans="1:20" s="182" customFormat="1" ht="20.25" customHeight="1" x14ac:dyDescent="0.25">
      <c r="A7" s="225" t="s">
        <v>225</v>
      </c>
      <c r="B7" s="225"/>
      <c r="C7" s="225"/>
    </row>
    <row r="8" spans="1:20" s="182" customFormat="1" ht="20.25" customHeight="1" x14ac:dyDescent="0.25">
      <c r="A8" s="183"/>
      <c r="B8" s="183"/>
    </row>
    <row r="11" spans="1:20" s="180" customFormat="1" ht="40.5" customHeight="1" x14ac:dyDescent="0.25">
      <c r="A11" s="184" t="s">
        <v>87</v>
      </c>
      <c r="B11" s="185" t="s">
        <v>88</v>
      </c>
      <c r="C11" s="186" t="s">
        <v>226</v>
      </c>
      <c r="D11" s="186" t="s">
        <v>227</v>
      </c>
      <c r="E11" s="186" t="s">
        <v>162</v>
      </c>
      <c r="O11" s="187"/>
      <c r="P11" s="187"/>
    </row>
    <row r="12" spans="1:20" ht="19.5" customHeight="1" x14ac:dyDescent="0.2">
      <c r="A12" s="188">
        <v>3112</v>
      </c>
      <c r="B12" s="188" t="s">
        <v>89</v>
      </c>
      <c r="C12" s="189">
        <v>10100000</v>
      </c>
      <c r="D12" s="189">
        <v>11700000</v>
      </c>
      <c r="E12" s="226">
        <f>+D12/C12*100</f>
        <v>115.84158415841583</v>
      </c>
      <c r="M12" s="187"/>
      <c r="N12" s="187"/>
      <c r="O12" s="187"/>
      <c r="P12" s="187"/>
      <c r="R12" s="187"/>
      <c r="S12" s="187"/>
      <c r="T12" s="191"/>
    </row>
    <row r="13" spans="1:20" ht="19.5" customHeight="1" x14ac:dyDescent="0.2">
      <c r="A13" s="188">
        <v>31120</v>
      </c>
      <c r="B13" s="188" t="s">
        <v>90</v>
      </c>
      <c r="C13" s="189">
        <v>8080000</v>
      </c>
      <c r="D13" s="189">
        <v>8320000</v>
      </c>
      <c r="E13" s="226">
        <f t="shared" ref="E13:E27" si="0">+D13/C13*100</f>
        <v>102.97029702970298</v>
      </c>
      <c r="M13" s="187"/>
      <c r="N13" s="192"/>
      <c r="O13" s="192"/>
      <c r="P13" s="192"/>
      <c r="R13" s="193"/>
      <c r="S13" s="193"/>
      <c r="T13" s="193"/>
    </row>
    <row r="14" spans="1:20" ht="19.5" customHeight="1" x14ac:dyDescent="0.2">
      <c r="A14" s="188">
        <v>31121</v>
      </c>
      <c r="B14" s="188" t="s">
        <v>91</v>
      </c>
      <c r="C14" s="189">
        <v>15000</v>
      </c>
      <c r="D14" s="189">
        <v>15000</v>
      </c>
      <c r="E14" s="226">
        <f t="shared" si="0"/>
        <v>100</v>
      </c>
      <c r="M14" s="187"/>
      <c r="N14" s="192"/>
      <c r="O14" s="192"/>
      <c r="P14" s="192"/>
      <c r="R14" s="193"/>
      <c r="S14" s="193"/>
      <c r="T14" s="193"/>
    </row>
    <row r="15" spans="1:20" ht="19.5" customHeight="1" x14ac:dyDescent="0.2">
      <c r="A15" s="194">
        <v>31</v>
      </c>
      <c r="B15" s="194" t="s">
        <v>92</v>
      </c>
      <c r="C15" s="195">
        <f>C12+C13+C14</f>
        <v>18195000</v>
      </c>
      <c r="D15" s="195">
        <f>D12+D13+D14</f>
        <v>20035000</v>
      </c>
      <c r="E15" s="227">
        <f t="shared" si="0"/>
        <v>110.11266831547128</v>
      </c>
      <c r="M15" s="187"/>
      <c r="N15" s="192"/>
      <c r="O15" s="192"/>
      <c r="P15" s="192"/>
      <c r="R15" s="193"/>
      <c r="S15" s="193"/>
    </row>
    <row r="16" spans="1:20" ht="19.5" customHeight="1" x14ac:dyDescent="0.2">
      <c r="A16" s="188">
        <v>3413</v>
      </c>
      <c r="B16" s="188" t="s">
        <v>93</v>
      </c>
      <c r="C16" s="189">
        <v>60000</v>
      </c>
      <c r="D16" s="189">
        <v>60000</v>
      </c>
      <c r="E16" s="226">
        <f t="shared" si="0"/>
        <v>100</v>
      </c>
      <c r="O16" s="187"/>
      <c r="P16" s="187"/>
    </row>
    <row r="17" spans="1:9" ht="19.5" customHeight="1" x14ac:dyDescent="0.2">
      <c r="A17" s="188">
        <v>3414</v>
      </c>
      <c r="B17" s="188" t="s">
        <v>154</v>
      </c>
      <c r="C17" s="189">
        <v>80000</v>
      </c>
      <c r="D17" s="189">
        <v>80000</v>
      </c>
      <c r="E17" s="226">
        <f t="shared" si="0"/>
        <v>100</v>
      </c>
      <c r="I17" s="196"/>
    </row>
    <row r="18" spans="1:9" ht="19.5" customHeight="1" x14ac:dyDescent="0.2">
      <c r="A18" s="188">
        <v>3415</v>
      </c>
      <c r="B18" s="188" t="s">
        <v>94</v>
      </c>
      <c r="C18" s="189">
        <v>20000</v>
      </c>
      <c r="D18" s="189">
        <v>20000</v>
      </c>
      <c r="E18" s="226">
        <f t="shared" si="0"/>
        <v>100</v>
      </c>
      <c r="I18" s="196"/>
    </row>
    <row r="19" spans="1:9" ht="19.5" customHeight="1" x14ac:dyDescent="0.2">
      <c r="A19" s="194">
        <v>341</v>
      </c>
      <c r="B19" s="194" t="s">
        <v>95</v>
      </c>
      <c r="C19" s="195">
        <f>C16+C17+C18</f>
        <v>160000</v>
      </c>
      <c r="D19" s="195">
        <f>D16+D17+D18</f>
        <v>160000</v>
      </c>
      <c r="E19" s="227">
        <f t="shared" si="0"/>
        <v>100</v>
      </c>
    </row>
    <row r="20" spans="1:9" ht="19.5" customHeight="1" x14ac:dyDescent="0.2">
      <c r="A20" s="188">
        <v>3511</v>
      </c>
      <c r="B20" s="188" t="s">
        <v>158</v>
      </c>
      <c r="C20" s="189">
        <v>20260000</v>
      </c>
      <c r="D20" s="189">
        <f>+D66+D63</f>
        <v>18530000</v>
      </c>
      <c r="E20" s="226">
        <f t="shared" si="0"/>
        <v>91.461006910167825</v>
      </c>
    </row>
    <row r="21" spans="1:9" ht="17.25" hidden="1" customHeight="1" x14ac:dyDescent="0.2">
      <c r="A21" s="188">
        <v>3512</v>
      </c>
      <c r="B21" s="188" t="s">
        <v>96</v>
      </c>
      <c r="C21" s="189"/>
      <c r="D21" s="189"/>
      <c r="E21" s="226" t="e">
        <f t="shared" si="0"/>
        <v>#DIV/0!</v>
      </c>
    </row>
    <row r="22" spans="1:9" ht="19.5" customHeight="1" x14ac:dyDescent="0.2">
      <c r="A22" s="188">
        <v>3511</v>
      </c>
      <c r="B22" s="188" t="s">
        <v>159</v>
      </c>
      <c r="C22" s="189">
        <v>50000000</v>
      </c>
      <c r="D22" s="189">
        <v>50000000</v>
      </c>
      <c r="E22" s="226">
        <f t="shared" si="0"/>
        <v>100</v>
      </c>
      <c r="H22" s="197"/>
    </row>
    <row r="23" spans="1:9" ht="19.5" customHeight="1" x14ac:dyDescent="0.2">
      <c r="A23" s="194">
        <v>351</v>
      </c>
      <c r="B23" s="194" t="s">
        <v>97</v>
      </c>
      <c r="C23" s="195">
        <f>C20+C22</f>
        <v>70260000</v>
      </c>
      <c r="D23" s="195">
        <f>D20+D22</f>
        <v>68530000</v>
      </c>
      <c r="E23" s="227">
        <f t="shared" si="0"/>
        <v>97.537717050953603</v>
      </c>
    </row>
    <row r="24" spans="1:9" ht="19.5" customHeight="1" x14ac:dyDescent="0.2">
      <c r="A24" s="194">
        <v>355</v>
      </c>
      <c r="B24" s="194" t="s">
        <v>98</v>
      </c>
      <c r="C24" s="195">
        <v>350000</v>
      </c>
      <c r="D24" s="195">
        <v>350000</v>
      </c>
      <c r="E24" s="226">
        <f t="shared" si="0"/>
        <v>100</v>
      </c>
      <c r="H24" s="197"/>
    </row>
    <row r="25" spans="1:9" ht="19.5" customHeight="1" x14ac:dyDescent="0.2">
      <c r="A25" s="194">
        <v>361</v>
      </c>
      <c r="B25" s="194" t="s">
        <v>156</v>
      </c>
      <c r="C25" s="195">
        <v>200000</v>
      </c>
      <c r="D25" s="195">
        <v>200000</v>
      </c>
      <c r="E25" s="226">
        <f t="shared" si="0"/>
        <v>100</v>
      </c>
    </row>
    <row r="26" spans="1:9" ht="19.5" customHeight="1" x14ac:dyDescent="0.2">
      <c r="A26" s="194">
        <v>363</v>
      </c>
      <c r="B26" s="194" t="s">
        <v>99</v>
      </c>
      <c r="C26" s="195">
        <v>15000</v>
      </c>
      <c r="D26" s="195">
        <v>15000</v>
      </c>
      <c r="E26" s="226">
        <f t="shared" si="0"/>
        <v>100</v>
      </c>
    </row>
    <row r="27" spans="1:9" s="180" customFormat="1" ht="27.75" customHeight="1" x14ac:dyDescent="0.25">
      <c r="A27" s="185"/>
      <c r="B27" s="185" t="s">
        <v>100</v>
      </c>
      <c r="C27" s="198">
        <f>+C15+C19+C23+C24+C26+C25</f>
        <v>89180000</v>
      </c>
      <c r="D27" s="198">
        <f>+D15+D19+D23+D24+D26+D25</f>
        <v>89290000</v>
      </c>
      <c r="E27" s="228">
        <f>+D27/C27*100</f>
        <v>100.12334604171338</v>
      </c>
      <c r="F27" s="199"/>
    </row>
    <row r="28" spans="1:9" x14ac:dyDescent="0.2">
      <c r="A28" s="200"/>
      <c r="B28" s="200"/>
      <c r="C28" s="201"/>
      <c r="D28" s="201"/>
      <c r="E28" s="201"/>
    </row>
    <row r="29" spans="1:9" x14ac:dyDescent="0.2">
      <c r="A29" s="200"/>
      <c r="B29" s="200"/>
      <c r="C29" s="201"/>
      <c r="D29" s="201"/>
      <c r="E29" s="201"/>
    </row>
    <row r="30" spans="1:9" x14ac:dyDescent="0.2">
      <c r="A30" s="200"/>
      <c r="B30" s="200"/>
      <c r="C30" s="201"/>
      <c r="D30" s="201"/>
      <c r="E30" s="201"/>
    </row>
    <row r="31" spans="1:9" s="180" customFormat="1" ht="40.5" customHeight="1" x14ac:dyDescent="0.25">
      <c r="A31" s="184" t="s">
        <v>101</v>
      </c>
      <c r="B31" s="185" t="s">
        <v>102</v>
      </c>
      <c r="C31" s="186" t="s">
        <v>226</v>
      </c>
      <c r="D31" s="186" t="s">
        <v>227</v>
      </c>
      <c r="E31" s="186" t="s">
        <v>162</v>
      </c>
    </row>
    <row r="32" spans="1:9" ht="19.5" customHeight="1" x14ac:dyDescent="0.2">
      <c r="A32" s="202">
        <v>411</v>
      </c>
      <c r="B32" s="203" t="s">
        <v>103</v>
      </c>
      <c r="C32" s="204">
        <v>3340000</v>
      </c>
      <c r="D32" s="204">
        <v>3340000</v>
      </c>
      <c r="E32" s="229">
        <f t="shared" ref="E32:E70" si="1">+D32/C32*100</f>
        <v>100</v>
      </c>
    </row>
    <row r="33" spans="1:18" ht="19.5" customHeight="1" x14ac:dyDescent="0.2">
      <c r="A33" s="202">
        <v>412</v>
      </c>
      <c r="B33" s="203" t="s">
        <v>104</v>
      </c>
      <c r="C33" s="195">
        <v>190000</v>
      </c>
      <c r="D33" s="195">
        <v>190000</v>
      </c>
      <c r="E33" s="230">
        <f t="shared" si="1"/>
        <v>100</v>
      </c>
    </row>
    <row r="34" spans="1:18" ht="19.5" customHeight="1" x14ac:dyDescent="0.2">
      <c r="A34" s="202">
        <v>413</v>
      </c>
      <c r="B34" s="203" t="s">
        <v>105</v>
      </c>
      <c r="C34" s="195">
        <v>615000</v>
      </c>
      <c r="D34" s="195">
        <v>615000</v>
      </c>
      <c r="E34" s="230">
        <f t="shared" si="1"/>
        <v>100</v>
      </c>
    </row>
    <row r="35" spans="1:18" ht="19.5" customHeight="1" x14ac:dyDescent="0.2">
      <c r="A35" s="205">
        <v>4211</v>
      </c>
      <c r="B35" s="206" t="s">
        <v>106</v>
      </c>
      <c r="C35" s="189">
        <v>200000</v>
      </c>
      <c r="D35" s="189">
        <v>200000</v>
      </c>
      <c r="E35" s="231">
        <f t="shared" si="1"/>
        <v>100</v>
      </c>
    </row>
    <row r="36" spans="1:18" ht="19.5" customHeight="1" x14ac:dyDescent="0.2">
      <c r="A36" s="205">
        <v>4212</v>
      </c>
      <c r="B36" s="206" t="s">
        <v>107</v>
      </c>
      <c r="C36" s="189">
        <v>60000</v>
      </c>
      <c r="D36" s="189">
        <v>60000</v>
      </c>
      <c r="E36" s="231">
        <f t="shared" si="1"/>
        <v>100</v>
      </c>
    </row>
    <row r="37" spans="1:18" ht="19.5" customHeight="1" x14ac:dyDescent="0.2">
      <c r="A37" s="205">
        <v>4213</v>
      </c>
      <c r="B37" s="206" t="s">
        <v>108</v>
      </c>
      <c r="C37" s="189">
        <v>65000</v>
      </c>
      <c r="D37" s="189">
        <v>65000</v>
      </c>
      <c r="E37" s="231">
        <f t="shared" si="1"/>
        <v>100</v>
      </c>
    </row>
    <row r="38" spans="1:18" ht="19.5" customHeight="1" x14ac:dyDescent="0.2">
      <c r="A38" s="202">
        <v>421</v>
      </c>
      <c r="B38" s="203" t="s">
        <v>109</v>
      </c>
      <c r="C38" s="195">
        <f>SUM(C35:C37)</f>
        <v>325000</v>
      </c>
      <c r="D38" s="195">
        <f>SUM(D35:D37)</f>
        <v>325000</v>
      </c>
      <c r="E38" s="230">
        <f t="shared" si="1"/>
        <v>100</v>
      </c>
    </row>
    <row r="39" spans="1:18" ht="19.5" customHeight="1" x14ac:dyDescent="0.2">
      <c r="A39" s="202">
        <v>422</v>
      </c>
      <c r="B39" s="203" t="s">
        <v>110</v>
      </c>
      <c r="C39" s="195">
        <v>320000</v>
      </c>
      <c r="D39" s="195">
        <v>320000</v>
      </c>
      <c r="E39" s="230">
        <f t="shared" si="1"/>
        <v>100</v>
      </c>
    </row>
    <row r="40" spans="1:18" ht="19.5" customHeight="1" x14ac:dyDescent="0.2">
      <c r="A40" s="202">
        <v>424</v>
      </c>
      <c r="B40" s="203" t="s">
        <v>27</v>
      </c>
      <c r="C40" s="195">
        <v>45000</v>
      </c>
      <c r="D40" s="195">
        <v>45000</v>
      </c>
      <c r="E40" s="230">
        <f t="shared" si="1"/>
        <v>100</v>
      </c>
      <c r="L40" s="197"/>
      <c r="M40" s="197"/>
      <c r="N40" s="197"/>
      <c r="O40" s="197"/>
      <c r="P40" s="197"/>
      <c r="Q40" s="197"/>
      <c r="R40" s="197"/>
    </row>
    <row r="41" spans="1:18" ht="19.5" customHeight="1" x14ac:dyDescent="0.2">
      <c r="A41" s="205">
        <v>4251</v>
      </c>
      <c r="B41" s="206" t="s">
        <v>28</v>
      </c>
      <c r="C41" s="189">
        <v>120000</v>
      </c>
      <c r="D41" s="189">
        <v>120000</v>
      </c>
      <c r="E41" s="231">
        <f t="shared" si="1"/>
        <v>100</v>
      </c>
      <c r="L41" s="197"/>
      <c r="M41" s="197"/>
      <c r="N41" s="197"/>
      <c r="O41" s="197"/>
      <c r="P41" s="207"/>
      <c r="Q41" s="197"/>
      <c r="R41" s="197"/>
    </row>
    <row r="42" spans="1:18" ht="19.5" customHeight="1" x14ac:dyDescent="0.2">
      <c r="A42" s="205">
        <v>4252</v>
      </c>
      <c r="B42" s="206" t="s">
        <v>34</v>
      </c>
      <c r="C42" s="189">
        <v>2620500</v>
      </c>
      <c r="D42" s="189">
        <v>2620500</v>
      </c>
      <c r="E42" s="231">
        <f t="shared" si="1"/>
        <v>100</v>
      </c>
      <c r="L42" s="197"/>
      <c r="M42" s="197"/>
      <c r="N42" s="197"/>
      <c r="O42" s="197"/>
      <c r="P42" s="207"/>
      <c r="Q42" s="197"/>
      <c r="R42" s="197"/>
    </row>
    <row r="43" spans="1:18" ht="19.5" customHeight="1" x14ac:dyDescent="0.2">
      <c r="A43" s="205">
        <v>4253</v>
      </c>
      <c r="B43" s="206" t="s">
        <v>32</v>
      </c>
      <c r="C43" s="189">
        <v>255000</v>
      </c>
      <c r="D43" s="189">
        <v>255000</v>
      </c>
      <c r="E43" s="231">
        <f t="shared" si="1"/>
        <v>100</v>
      </c>
      <c r="L43" s="197"/>
      <c r="M43" s="197"/>
      <c r="N43" s="197"/>
      <c r="O43" s="197"/>
      <c r="P43" s="207"/>
      <c r="Q43" s="197"/>
      <c r="R43" s="197"/>
    </row>
    <row r="44" spans="1:18" ht="19.5" customHeight="1" x14ac:dyDescent="0.2">
      <c r="A44" s="205">
        <v>4254</v>
      </c>
      <c r="B44" s="206" t="s">
        <v>46</v>
      </c>
      <c r="C44" s="189">
        <v>900000</v>
      </c>
      <c r="D44" s="189">
        <v>900000</v>
      </c>
      <c r="E44" s="231">
        <f t="shared" si="1"/>
        <v>100</v>
      </c>
      <c r="L44" s="197"/>
      <c r="M44" s="197"/>
      <c r="N44" s="197"/>
      <c r="O44" s="197"/>
      <c r="P44" s="207"/>
      <c r="Q44" s="207"/>
      <c r="R44" s="207"/>
    </row>
    <row r="45" spans="1:18" ht="19.5" customHeight="1" x14ac:dyDescent="0.2">
      <c r="A45" s="205">
        <v>4255</v>
      </c>
      <c r="B45" s="206" t="s">
        <v>55</v>
      </c>
      <c r="C45" s="189">
        <v>30000</v>
      </c>
      <c r="D45" s="189">
        <v>30000</v>
      </c>
      <c r="E45" s="231">
        <f t="shared" si="1"/>
        <v>100</v>
      </c>
      <c r="L45" s="197"/>
      <c r="M45" s="197"/>
      <c r="N45" s="197"/>
      <c r="O45" s="197"/>
      <c r="P45" s="207"/>
      <c r="Q45" s="197"/>
      <c r="R45" s="197"/>
    </row>
    <row r="46" spans="1:18" ht="19.5" customHeight="1" x14ac:dyDescent="0.2">
      <c r="A46" s="205">
        <v>4256</v>
      </c>
      <c r="B46" s="206" t="s">
        <v>111</v>
      </c>
      <c r="C46" s="189">
        <v>40000</v>
      </c>
      <c r="D46" s="189">
        <v>40000</v>
      </c>
      <c r="E46" s="231">
        <f t="shared" si="1"/>
        <v>100</v>
      </c>
      <c r="G46" s="197"/>
      <c r="H46" s="197"/>
      <c r="L46" s="197"/>
      <c r="M46" s="197"/>
      <c r="N46" s="197"/>
      <c r="O46" s="197"/>
      <c r="P46" s="207"/>
      <c r="Q46" s="197"/>
      <c r="R46" s="197"/>
    </row>
    <row r="47" spans="1:18" ht="19.5" customHeight="1" x14ac:dyDescent="0.2">
      <c r="A47" s="205">
        <v>4257</v>
      </c>
      <c r="B47" s="206" t="s">
        <v>58</v>
      </c>
      <c r="C47" s="189">
        <v>1025000</v>
      </c>
      <c r="D47" s="189">
        <v>1025000</v>
      </c>
      <c r="E47" s="231">
        <f t="shared" si="1"/>
        <v>100</v>
      </c>
      <c r="G47" s="197"/>
      <c r="H47" s="197"/>
      <c r="L47" s="197"/>
      <c r="M47" s="197"/>
      <c r="N47" s="197"/>
      <c r="O47" s="197"/>
      <c r="P47" s="207"/>
      <c r="Q47" s="197"/>
      <c r="R47" s="197"/>
    </row>
    <row r="48" spans="1:18" ht="19.5" customHeight="1" x14ac:dyDescent="0.2">
      <c r="A48" s="205">
        <v>4258</v>
      </c>
      <c r="B48" s="206" t="s">
        <v>112</v>
      </c>
      <c r="C48" s="189">
        <v>55000</v>
      </c>
      <c r="D48" s="189">
        <v>55000</v>
      </c>
      <c r="E48" s="231">
        <f t="shared" si="1"/>
        <v>100</v>
      </c>
      <c r="G48" s="197"/>
      <c r="H48" s="197"/>
      <c r="L48" s="197"/>
      <c r="M48" s="197"/>
      <c r="N48" s="197"/>
      <c r="O48" s="197"/>
      <c r="P48" s="207"/>
      <c r="Q48" s="197"/>
      <c r="R48" s="197"/>
    </row>
    <row r="49" spans="1:18" ht="19.5" customHeight="1" x14ac:dyDescent="0.2">
      <c r="A49" s="205">
        <v>4259</v>
      </c>
      <c r="B49" s="206" t="s">
        <v>113</v>
      </c>
      <c r="C49" s="189">
        <v>32000</v>
      </c>
      <c r="D49" s="189">
        <v>32000</v>
      </c>
      <c r="E49" s="231">
        <f t="shared" si="1"/>
        <v>100</v>
      </c>
      <c r="G49" s="197"/>
      <c r="H49" s="197"/>
      <c r="L49" s="197"/>
      <c r="M49" s="197"/>
      <c r="N49" s="197"/>
      <c r="O49" s="197"/>
      <c r="P49" s="207"/>
      <c r="Q49" s="197"/>
      <c r="R49" s="197"/>
    </row>
    <row r="50" spans="1:18" ht="19.5" customHeight="1" x14ac:dyDescent="0.2">
      <c r="A50" s="202">
        <v>425</v>
      </c>
      <c r="B50" s="203" t="s">
        <v>114</v>
      </c>
      <c r="C50" s="195">
        <f>SUM(C41:C49)</f>
        <v>5077500</v>
      </c>
      <c r="D50" s="195">
        <f>SUM(D41:D49)</f>
        <v>5077500</v>
      </c>
      <c r="E50" s="230">
        <f t="shared" si="1"/>
        <v>100</v>
      </c>
      <c r="L50" s="197"/>
      <c r="M50" s="197"/>
      <c r="N50" s="197"/>
      <c r="O50" s="197"/>
      <c r="P50" s="207"/>
      <c r="Q50" s="197"/>
      <c r="R50" s="197"/>
    </row>
    <row r="51" spans="1:18" ht="17.25" customHeight="1" x14ac:dyDescent="0.2">
      <c r="A51" s="202">
        <v>426</v>
      </c>
      <c r="B51" s="203" t="s">
        <v>79</v>
      </c>
      <c r="C51" s="195">
        <v>1050000</v>
      </c>
      <c r="D51" s="195">
        <v>1050000</v>
      </c>
      <c r="E51" s="230">
        <f t="shared" si="1"/>
        <v>100</v>
      </c>
      <c r="L51" s="197"/>
      <c r="M51" s="197"/>
      <c r="N51" s="197"/>
      <c r="O51" s="197"/>
      <c r="P51" s="197"/>
      <c r="Q51" s="197"/>
      <c r="R51" s="197"/>
    </row>
    <row r="52" spans="1:18" ht="19.5" customHeight="1" x14ac:dyDescent="0.2">
      <c r="A52" s="205">
        <v>4291</v>
      </c>
      <c r="B52" s="206" t="s">
        <v>115</v>
      </c>
      <c r="C52" s="189">
        <f>15000+21000+6000</f>
        <v>42000</v>
      </c>
      <c r="D52" s="189">
        <f>15000+21000+6000</f>
        <v>42000</v>
      </c>
      <c r="E52" s="231">
        <f t="shared" si="1"/>
        <v>100</v>
      </c>
    </row>
    <row r="53" spans="1:18" ht="19.5" customHeight="1" x14ac:dyDescent="0.2">
      <c r="A53" s="205">
        <v>4292</v>
      </c>
      <c r="B53" s="206" t="s">
        <v>116</v>
      </c>
      <c r="C53" s="189">
        <v>80000</v>
      </c>
      <c r="D53" s="189">
        <v>80000</v>
      </c>
      <c r="E53" s="231">
        <f t="shared" si="1"/>
        <v>100</v>
      </c>
    </row>
    <row r="54" spans="1:18" ht="19.5" customHeight="1" x14ac:dyDescent="0.2">
      <c r="A54" s="205">
        <v>4293</v>
      </c>
      <c r="B54" s="206" t="s">
        <v>117</v>
      </c>
      <c r="C54" s="189">
        <v>80000</v>
      </c>
      <c r="D54" s="189">
        <v>80000</v>
      </c>
      <c r="E54" s="231">
        <f t="shared" si="1"/>
        <v>100</v>
      </c>
    </row>
    <row r="55" spans="1:18" ht="19.5" customHeight="1" x14ac:dyDescent="0.2">
      <c r="A55" s="208" t="s">
        <v>118</v>
      </c>
      <c r="B55" s="206" t="s">
        <v>119</v>
      </c>
      <c r="C55" s="189">
        <v>5000</v>
      </c>
      <c r="D55" s="189">
        <v>5000</v>
      </c>
      <c r="E55" s="231">
        <f t="shared" si="1"/>
        <v>100</v>
      </c>
    </row>
    <row r="56" spans="1:18" ht="19.5" customHeight="1" x14ac:dyDescent="0.2">
      <c r="A56" s="202">
        <v>429</v>
      </c>
      <c r="B56" s="203" t="s">
        <v>119</v>
      </c>
      <c r="C56" s="195">
        <f>SUM(C52:C55)</f>
        <v>207000</v>
      </c>
      <c r="D56" s="195">
        <f>SUM(D52:D55)</f>
        <v>207000</v>
      </c>
      <c r="E56" s="230">
        <f t="shared" si="1"/>
        <v>100</v>
      </c>
    </row>
    <row r="57" spans="1:18" ht="19.5" customHeight="1" x14ac:dyDescent="0.2">
      <c r="A57" s="205">
        <v>4311</v>
      </c>
      <c r="B57" s="206" t="s">
        <v>120</v>
      </c>
      <c r="C57" s="189">
        <v>300000</v>
      </c>
      <c r="D57" s="189">
        <v>300000</v>
      </c>
      <c r="E57" s="231">
        <f t="shared" si="1"/>
        <v>100</v>
      </c>
    </row>
    <row r="58" spans="1:18" ht="19.5" customHeight="1" x14ac:dyDescent="0.2">
      <c r="A58" s="205">
        <v>43110</v>
      </c>
      <c r="B58" s="206" t="s">
        <v>149</v>
      </c>
      <c r="C58" s="189">
        <v>50000000</v>
      </c>
      <c r="D58" s="189">
        <v>50000000</v>
      </c>
      <c r="E58" s="231">
        <f t="shared" si="1"/>
        <v>100</v>
      </c>
    </row>
    <row r="59" spans="1:18" ht="19.5" hidden="1" customHeight="1" x14ac:dyDescent="0.2">
      <c r="A59" s="205">
        <v>43111</v>
      </c>
      <c r="B59" s="206" t="s">
        <v>160</v>
      </c>
      <c r="C59" s="189">
        <v>0</v>
      </c>
      <c r="D59" s="189">
        <v>0</v>
      </c>
      <c r="E59" s="231" t="e">
        <f t="shared" si="1"/>
        <v>#DIV/0!</v>
      </c>
    </row>
    <row r="60" spans="1:18" ht="19.5" customHeight="1" x14ac:dyDescent="0.2">
      <c r="A60" s="202">
        <v>431</v>
      </c>
      <c r="B60" s="203" t="s">
        <v>121</v>
      </c>
      <c r="C60" s="195">
        <f>SUM(C57:C59)</f>
        <v>50300000</v>
      </c>
      <c r="D60" s="195">
        <f>SUM(D57:D59)</f>
        <v>50300000</v>
      </c>
      <c r="E60" s="230">
        <f t="shared" si="1"/>
        <v>100</v>
      </c>
    </row>
    <row r="61" spans="1:18" ht="19.5" customHeight="1" x14ac:dyDescent="0.2">
      <c r="A61" s="205">
        <v>44211</v>
      </c>
      <c r="B61" s="206" t="s">
        <v>122</v>
      </c>
      <c r="C61" s="189">
        <v>1800000</v>
      </c>
      <c r="D61" s="189">
        <v>550000</v>
      </c>
      <c r="E61" s="231">
        <f t="shared" si="1"/>
        <v>30.555555555555557</v>
      </c>
    </row>
    <row r="62" spans="1:18" ht="19.5" customHeight="1" x14ac:dyDescent="0.2">
      <c r="A62" s="205">
        <v>44212</v>
      </c>
      <c r="B62" s="206" t="s">
        <v>123</v>
      </c>
      <c r="C62" s="189">
        <v>18300000</v>
      </c>
      <c r="D62" s="189">
        <v>17850000</v>
      </c>
      <c r="E62" s="231">
        <f t="shared" si="1"/>
        <v>97.540983606557376</v>
      </c>
      <c r="F62" s="190"/>
    </row>
    <row r="63" spans="1:18" ht="20.25" customHeight="1" x14ac:dyDescent="0.2">
      <c r="A63" s="202">
        <v>442</v>
      </c>
      <c r="B63" s="203" t="s">
        <v>125</v>
      </c>
      <c r="C63" s="195">
        <f>SUM(C61:C62)</f>
        <v>20100000</v>
      </c>
      <c r="D63" s="195">
        <f>SUM(D61:D62)</f>
        <v>18400000</v>
      </c>
      <c r="E63" s="230">
        <f t="shared" si="1"/>
        <v>91.542288557213936</v>
      </c>
    </row>
    <row r="64" spans="1:18" ht="19.5" customHeight="1" x14ac:dyDescent="0.2">
      <c r="A64" s="205">
        <v>4431</v>
      </c>
      <c r="B64" s="206" t="s">
        <v>126</v>
      </c>
      <c r="C64" s="189">
        <v>30000</v>
      </c>
      <c r="D64" s="189">
        <v>30000</v>
      </c>
      <c r="E64" s="231">
        <f t="shared" si="1"/>
        <v>100</v>
      </c>
    </row>
    <row r="65" spans="1:5" ht="19.5" customHeight="1" x14ac:dyDescent="0.2">
      <c r="A65" s="205">
        <v>4432</v>
      </c>
      <c r="B65" s="206" t="s">
        <v>127</v>
      </c>
      <c r="C65" s="189">
        <v>7400000</v>
      </c>
      <c r="D65" s="189">
        <v>4500000</v>
      </c>
      <c r="E65" s="231">
        <f t="shared" si="1"/>
        <v>60.810810810810814</v>
      </c>
    </row>
    <row r="66" spans="1:5" ht="19.5" customHeight="1" x14ac:dyDescent="0.2">
      <c r="A66" s="205">
        <v>4430</v>
      </c>
      <c r="B66" s="206" t="s">
        <v>128</v>
      </c>
      <c r="C66" s="189">
        <v>160000</v>
      </c>
      <c r="D66" s="189">
        <v>130000</v>
      </c>
      <c r="E66" s="231">
        <f t="shared" si="1"/>
        <v>81.25</v>
      </c>
    </row>
    <row r="67" spans="1:5" ht="19.5" customHeight="1" x14ac:dyDescent="0.2">
      <c r="A67" s="202">
        <v>443</v>
      </c>
      <c r="B67" s="203" t="s">
        <v>129</v>
      </c>
      <c r="C67" s="195">
        <f>SUM(C64:C66)</f>
        <v>7590000</v>
      </c>
      <c r="D67" s="195">
        <f>SUM(D64:D66)</f>
        <v>4660000</v>
      </c>
      <c r="E67" s="230">
        <f t="shared" si="1"/>
        <v>61.396574440052696</v>
      </c>
    </row>
    <row r="68" spans="1:5" ht="19.5" customHeight="1" x14ac:dyDescent="0.2">
      <c r="A68" s="202">
        <v>462</v>
      </c>
      <c r="B68" s="203" t="s">
        <v>130</v>
      </c>
      <c r="C68" s="209">
        <v>5000</v>
      </c>
      <c r="D68" s="209">
        <v>5000</v>
      </c>
      <c r="E68" s="232">
        <f t="shared" si="1"/>
        <v>100</v>
      </c>
    </row>
    <row r="69" spans="1:5" s="180" customFormat="1" ht="28.5" customHeight="1" x14ac:dyDescent="0.25">
      <c r="A69" s="210"/>
      <c r="B69" s="185" t="s">
        <v>131</v>
      </c>
      <c r="C69" s="198">
        <f>+C32+C33+C34+C38+C39+C40+C51+C50+C56+C60+C63+C67+C68</f>
        <v>89164500</v>
      </c>
      <c r="D69" s="198">
        <f>+D32+D33+D34+D38+D39+D40+D51+D50+D56+D60+D63+D67+D68</f>
        <v>84534500</v>
      </c>
      <c r="E69" s="228">
        <f t="shared" si="1"/>
        <v>94.807350458983123</v>
      </c>
    </row>
    <row r="70" spans="1:5" s="180" customFormat="1" ht="28.5" customHeight="1" x14ac:dyDescent="0.25">
      <c r="A70" s="211" t="s">
        <v>132</v>
      </c>
      <c r="B70" s="212" t="s">
        <v>133</v>
      </c>
      <c r="C70" s="213">
        <f>+C27-C69</f>
        <v>15500</v>
      </c>
      <c r="D70" s="213">
        <f>+D27-D69</f>
        <v>4755500</v>
      </c>
      <c r="E70" s="233">
        <f t="shared" si="1"/>
        <v>30680.645161290322</v>
      </c>
    </row>
    <row r="71" spans="1:5" x14ac:dyDescent="0.2">
      <c r="A71" s="214"/>
      <c r="C71" s="215"/>
    </row>
    <row r="72" spans="1:5" x14ac:dyDescent="0.2">
      <c r="A72" s="214"/>
    </row>
    <row r="73" spans="1:5" x14ac:dyDescent="0.2">
      <c r="A73" s="216"/>
      <c r="B73" s="214"/>
    </row>
    <row r="74" spans="1:5" x14ac:dyDescent="0.2">
      <c r="A74" s="216"/>
      <c r="B74" s="217"/>
    </row>
    <row r="75" spans="1:5" x14ac:dyDescent="0.2">
      <c r="A75" s="216"/>
      <c r="B75" s="214"/>
      <c r="D75" s="190"/>
    </row>
    <row r="76" spans="1:5" x14ac:dyDescent="0.2">
      <c r="A76" s="214"/>
      <c r="B76" s="214"/>
    </row>
    <row r="77" spans="1:5" x14ac:dyDescent="0.2">
      <c r="A77" s="214"/>
      <c r="B77" s="214"/>
    </row>
    <row r="78" spans="1:5" x14ac:dyDescent="0.2">
      <c r="A78" s="214"/>
      <c r="B78" s="214"/>
    </row>
    <row r="79" spans="1:5" x14ac:dyDescent="0.2">
      <c r="A79" s="214"/>
    </row>
    <row r="80" spans="1:5" x14ac:dyDescent="0.2">
      <c r="A80" s="214"/>
    </row>
    <row r="81" spans="1:1" x14ac:dyDescent="0.2">
      <c r="A81" s="214"/>
    </row>
    <row r="82" spans="1:1" x14ac:dyDescent="0.2">
      <c r="A82" s="214"/>
    </row>
    <row r="83" spans="1:1" x14ac:dyDescent="0.2">
      <c r="A83" s="214"/>
    </row>
    <row r="84" spans="1:1" x14ac:dyDescent="0.2">
      <c r="A84" s="214"/>
    </row>
    <row r="85" spans="1:1" x14ac:dyDescent="0.2">
      <c r="A85" s="214"/>
    </row>
    <row r="86" spans="1:1" x14ac:dyDescent="0.2">
      <c r="A86" s="214"/>
    </row>
    <row r="87" spans="1:1" x14ac:dyDescent="0.2">
      <c r="A87" s="214"/>
    </row>
    <row r="88" spans="1:1" x14ac:dyDescent="0.2">
      <c r="A88" s="214"/>
    </row>
    <row r="89" spans="1:1" x14ac:dyDescent="0.2">
      <c r="A89" s="214"/>
    </row>
    <row r="90" spans="1:1" x14ac:dyDescent="0.2">
      <c r="A90" s="214"/>
    </row>
    <row r="91" spans="1:1" x14ac:dyDescent="0.2">
      <c r="A91" s="214"/>
    </row>
    <row r="92" spans="1:1" x14ac:dyDescent="0.2">
      <c r="A92" s="214"/>
    </row>
    <row r="93" spans="1:1" x14ac:dyDescent="0.2">
      <c r="A93" s="214"/>
    </row>
    <row r="94" spans="1:1" x14ac:dyDescent="0.2">
      <c r="A94" s="214"/>
    </row>
  </sheetData>
  <mergeCells count="1">
    <mergeCell ref="A7:C7"/>
  </mergeCells>
  <pageMargins left="0.7" right="0.7" top="0.75" bottom="0.75" header="0.3" footer="0.3"/>
  <pageSetup paperSize="9" scale="70" orientation="portrait" r:id="rId1"/>
  <rowBreaks count="1" manualBreakCount="1">
    <brk id="29" max="4" man="1"/>
  </rowBreaks>
  <ignoredErrors>
    <ignoredError sqref="C50 C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Rashodi - Investicije</vt:lpstr>
      <vt:lpstr>Prihodi</vt:lpstr>
      <vt:lpstr>Rashodi po kontima</vt:lpstr>
      <vt:lpstr>Kreditna zaduženost</vt:lpstr>
      <vt:lpstr>FINAL  2017 izmjena radna</vt:lpstr>
      <vt:lpstr>2018</vt:lpstr>
      <vt:lpstr>FINAL 2018 OK</vt:lpstr>
      <vt:lpstr>'2018'!Print_Area</vt:lpstr>
      <vt:lpstr>'FINAL 2018 OK'!Print_Area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2019-12-02T13:10:25Z</cp:lastPrinted>
  <dcterms:created xsi:type="dcterms:W3CDTF">2015-01-14T11:28:01Z</dcterms:created>
  <dcterms:modified xsi:type="dcterms:W3CDTF">2019-12-02T13:54:37Z</dcterms:modified>
</cp:coreProperties>
</file>